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https://rinstrumaus-my.sharepoint.com/personal/kalana_lalitharathne_rinstrum_com/Documents/New Projects Comms/RVO online Training/2025/MCA Test Report DualSingle/Release/"/>
    </mc:Choice>
  </mc:AlternateContent>
  <xr:revisionPtr revIDLastSave="0" documentId="8_{8877CE72-D563-422E-BC73-2C2A352B1DE8}" xr6:coauthVersionLast="47" xr6:coauthVersionMax="47" xr10:uidLastSave="{00000000-0000-0000-0000-000000000000}"/>
  <bookViews>
    <workbookView xWindow="-120" yWindow="-120" windowWidth="29040" windowHeight="15720" tabRatio="847" xr2:uid="{00000000-000D-0000-FFFF-FFFF00000000}"/>
  </bookViews>
  <sheets>
    <sheet name="Dual Range max. &lt; 1t" sheetId="1" r:id="rId1"/>
    <sheet name="Dual Range max. &gt; 1t" sheetId="2" r:id="rId2"/>
    <sheet name="Dual Range Truck Scale" sheetId="3" r:id="rId3"/>
    <sheet name="Single Range max. &lt; 10kg" sheetId="4" r:id="rId4"/>
    <sheet name="Single Range max. &lt; 1t Gravity" sheetId="5" r:id="rId5"/>
    <sheet name="Single Range max. &gt; 1t Gravity " sheetId="6" r:id="rId6"/>
    <sheet name="Single Range Truck Gravity" sheetId="7" r:id="rId7"/>
    <sheet name="Hanging scale &lt; 1t" sheetId="8" r:id="rId8"/>
    <sheet name="Single Range medical bed" sheetId="9" r:id="rId9"/>
    <sheet name="Single Range Onboard Weighing" sheetId="10" r:id="rId10"/>
    <sheet name="Dual Range Onboard Weighing" sheetId="11" r:id="rId11"/>
  </sheets>
  <definedNames>
    <definedName name="_xlnm.Print_Area" localSheetId="0">'Dual Range max. &lt; 1t'!$A$1:$Q$132</definedName>
    <definedName name="_xlnm.Print_Area" localSheetId="1">'Dual Range max. &gt; 1t'!$A$1:$Q$136</definedName>
    <definedName name="_xlnm.Print_Area" localSheetId="10">'Dual Range Onboard Weighing'!$A$1:$Y$117</definedName>
    <definedName name="_xlnm.Print_Area" localSheetId="2">'Dual Range Truck Scale'!$A$1:$Q$164</definedName>
    <definedName name="_xlnm.Print_Area" localSheetId="4">'Single Range max. &lt; 1t Gravity'!$A$1:$Q$120</definedName>
    <definedName name="_xlnm.Print_Area" localSheetId="5">'Single Range max. &gt; 1t Gravity '!$A$1:$Q$119</definedName>
    <definedName name="Testtruck" localSheetId="7">#REF!</definedName>
    <definedName name="Testtruck" localSheetId="5">#REF!</definedName>
    <definedName name="Testtruck">#REF!</definedName>
    <definedName name="truck1" localSheetId="7">#REF!</definedName>
    <definedName name="truck1" localSheetId="5">#REF!</definedName>
    <definedName name="truck1">#REF!</definedName>
    <definedName name="Z_1AAFE600_AD8B_4A0F_936E_A145200A15D1_.wvu.PrintArea" localSheetId="0">'Dual Range max. &lt; 1t'!$A$1:$Q$130</definedName>
    <definedName name="Z_1AAFE600_AD8B_4A0F_936E_A145200A15D1_.wvu.PrintArea" localSheetId="1">'Dual Range max. &gt; 1t'!$A$1:$Q$134</definedName>
    <definedName name="Z_1AAFE600_AD8B_4A0F_936E_A145200A15D1_.wvu.PrintArea" localSheetId="10">'Dual Range Onboard Weighing'!$A$1:$Q$115</definedName>
    <definedName name="Z_1AAFE600_AD8B_4A0F_936E_A145200A15D1_.wvu.PrintArea" localSheetId="2">'Dual Range Truck Scale'!$A$1:$Q$162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8" i="11" l="1"/>
  <c r="K9" i="11"/>
  <c r="K9" i="10"/>
  <c r="K8" i="10"/>
  <c r="K8" i="9"/>
  <c r="K8" i="8"/>
  <c r="K8" i="7"/>
  <c r="K8" i="6"/>
  <c r="K8" i="5"/>
  <c r="K8" i="4"/>
  <c r="K8" i="1"/>
  <c r="K8" i="3"/>
  <c r="K8" i="2"/>
  <c r="B114" i="11" l="1"/>
  <c r="A112" i="11"/>
  <c r="A109" i="11"/>
  <c r="I106" i="11"/>
  <c r="A106" i="11"/>
  <c r="A105" i="11"/>
  <c r="K101" i="11"/>
  <c r="K100" i="11"/>
  <c r="K99" i="11"/>
  <c r="K98" i="11"/>
  <c r="K97" i="11"/>
  <c r="O97" i="11" s="1"/>
  <c r="G97" i="11"/>
  <c r="G100" i="11" s="1"/>
  <c r="F100" i="11" s="1"/>
  <c r="A95" i="11"/>
  <c r="M93" i="11"/>
  <c r="L93" i="11"/>
  <c r="H93" i="11"/>
  <c r="N97" i="11" s="1"/>
  <c r="M97" i="11" s="1"/>
  <c r="G93" i="11"/>
  <c r="A93" i="11"/>
  <c r="H90" i="11"/>
  <c r="A90" i="11"/>
  <c r="K88" i="11"/>
  <c r="L87" i="11"/>
  <c r="H87" i="11"/>
  <c r="E87" i="11"/>
  <c r="J87" i="11" s="1"/>
  <c r="A87" i="11"/>
  <c r="L86" i="11"/>
  <c r="H86" i="11"/>
  <c r="E86" i="11"/>
  <c r="C86" i="11" s="1"/>
  <c r="K86" i="11" s="1"/>
  <c r="A86" i="11"/>
  <c r="L85" i="11"/>
  <c r="H85" i="11"/>
  <c r="E85" i="11"/>
  <c r="C85" i="11"/>
  <c r="K85" i="11" s="1"/>
  <c r="A85" i="11"/>
  <c r="L84" i="11"/>
  <c r="H84" i="11"/>
  <c r="E84" i="11"/>
  <c r="A84" i="11"/>
  <c r="E83" i="11"/>
  <c r="C83" i="11" s="1"/>
  <c r="K83" i="11" s="1"/>
  <c r="J83" i="11" s="1"/>
  <c r="A83" i="11"/>
  <c r="H82" i="11"/>
  <c r="C82" i="11"/>
  <c r="K82" i="11" s="1"/>
  <c r="J82" i="11" s="1"/>
  <c r="L82" i="11" s="1"/>
  <c r="A82" i="11"/>
  <c r="A80" i="11"/>
  <c r="B78" i="11"/>
  <c r="L74" i="11"/>
  <c r="J74" i="11"/>
  <c r="H74" i="11"/>
  <c r="F74" i="11"/>
  <c r="B73" i="11"/>
  <c r="H72" i="11"/>
  <c r="A72" i="11"/>
  <c r="L70" i="11"/>
  <c r="E69" i="11"/>
  <c r="I69" i="11" s="1"/>
  <c r="B69" i="11"/>
  <c r="A69" i="11"/>
  <c r="E68" i="11"/>
  <c r="I68" i="11" s="1"/>
  <c r="E67" i="11"/>
  <c r="D67" i="11" s="1"/>
  <c r="I66" i="11"/>
  <c r="E66" i="11"/>
  <c r="D66" i="11" s="1"/>
  <c r="E65" i="11"/>
  <c r="I65" i="11" s="1"/>
  <c r="E64" i="11"/>
  <c r="D64" i="11" s="1"/>
  <c r="A64" i="11"/>
  <c r="B64" i="11" s="1"/>
  <c r="I63" i="11"/>
  <c r="E63" i="11"/>
  <c r="D63" i="11"/>
  <c r="L63" i="11" s="1"/>
  <c r="K63" i="11" s="1"/>
  <c r="A63" i="11"/>
  <c r="B63" i="11" s="1"/>
  <c r="I62" i="11"/>
  <c r="D62" i="11"/>
  <c r="L62" i="11" s="1"/>
  <c r="K62" i="11" s="1"/>
  <c r="A62" i="11"/>
  <c r="B62" i="11" s="1"/>
  <c r="I61" i="11"/>
  <c r="D61" i="11"/>
  <c r="L61" i="11" s="1"/>
  <c r="B61" i="11"/>
  <c r="I60" i="11"/>
  <c r="D60" i="11"/>
  <c r="L60" i="11" s="1"/>
  <c r="B60" i="11"/>
  <c r="I59" i="11"/>
  <c r="D59" i="11"/>
  <c r="L59" i="11" s="1"/>
  <c r="A59" i="11"/>
  <c r="B59" i="11" s="1"/>
  <c r="B65" i="11" s="1"/>
  <c r="A65" i="11" s="1"/>
  <c r="I58" i="11"/>
  <c r="D58" i="11"/>
  <c r="A58" i="11"/>
  <c r="B58" i="11" s="1"/>
  <c r="B66" i="11" s="1"/>
  <c r="A66" i="11" s="1"/>
  <c r="I57" i="11"/>
  <c r="D57" i="11"/>
  <c r="A57" i="11"/>
  <c r="B57" i="11" s="1"/>
  <c r="B67" i="11" s="1"/>
  <c r="A67" i="11" s="1"/>
  <c r="I56" i="11"/>
  <c r="D56" i="11"/>
  <c r="L56" i="11" s="1"/>
  <c r="K56" i="11" s="1"/>
  <c r="A56" i="11"/>
  <c r="B56" i="11" s="1"/>
  <c r="B68" i="11" s="1"/>
  <c r="A68" i="11" s="1"/>
  <c r="I55" i="11"/>
  <c r="D55" i="11"/>
  <c r="L55" i="11" s="1"/>
  <c r="K55" i="11" s="1"/>
  <c r="B55" i="11"/>
  <c r="A53" i="11"/>
  <c r="H52" i="11"/>
  <c r="A52" i="11"/>
  <c r="I48" i="11"/>
  <c r="J47" i="11"/>
  <c r="J48" i="11" s="1"/>
  <c r="H47" i="11"/>
  <c r="E47" i="11"/>
  <c r="G43" i="11"/>
  <c r="A43" i="11"/>
  <c r="J41" i="11"/>
  <c r="H40" i="11"/>
  <c r="E40" i="11"/>
  <c r="H37" i="11"/>
  <c r="A37" i="11"/>
  <c r="D35" i="11"/>
  <c r="J34" i="11"/>
  <c r="I33" i="11"/>
  <c r="I32" i="11"/>
  <c r="E32" i="11"/>
  <c r="D32" i="11"/>
  <c r="L32" i="11" s="1"/>
  <c r="K32" i="11" s="1"/>
  <c r="B32" i="11"/>
  <c r="A32" i="11"/>
  <c r="E31" i="11"/>
  <c r="B31" i="11"/>
  <c r="A31" i="11"/>
  <c r="I30" i="11"/>
  <c r="N30" i="11" s="1"/>
  <c r="D30" i="11"/>
  <c r="B30" i="11"/>
  <c r="A30" i="11"/>
  <c r="I29" i="11"/>
  <c r="L35" i="11" s="1"/>
  <c r="E28" i="11"/>
  <c r="B28" i="11"/>
  <c r="A28" i="11"/>
  <c r="N27" i="11"/>
  <c r="I27" i="11"/>
  <c r="E27" i="11"/>
  <c r="D27" i="11"/>
  <c r="L27" i="11" s="1"/>
  <c r="K27" i="11" s="1"/>
  <c r="B27" i="11"/>
  <c r="A27" i="11"/>
  <c r="N26" i="11"/>
  <c r="I26" i="11"/>
  <c r="D26" i="11"/>
  <c r="L26" i="11" s="1"/>
  <c r="K26" i="11" s="1"/>
  <c r="M26" i="11" s="1"/>
  <c r="B26" i="11"/>
  <c r="A26" i="11"/>
  <c r="A24" i="11"/>
  <c r="A22" i="11"/>
  <c r="A21" i="11"/>
  <c r="H20" i="11"/>
  <c r="A20" i="11"/>
  <c r="L18" i="11"/>
  <c r="C18" i="11"/>
  <c r="A18" i="11"/>
  <c r="K16" i="11"/>
  <c r="I15" i="11"/>
  <c r="I14" i="11"/>
  <c r="K13" i="11"/>
  <c r="M12" i="11"/>
  <c r="K11" i="11"/>
  <c r="K10" i="11"/>
  <c r="K7" i="11"/>
  <c r="K6" i="11"/>
  <c r="C6" i="11"/>
  <c r="J3" i="11"/>
  <c r="Q1" i="11"/>
  <c r="B104" i="10"/>
  <c r="A102" i="10"/>
  <c r="A99" i="10"/>
  <c r="I96" i="10"/>
  <c r="A96" i="10"/>
  <c r="A95" i="10"/>
  <c r="G90" i="10"/>
  <c r="F90" i="10" s="1"/>
  <c r="K89" i="10"/>
  <c r="G89" i="10"/>
  <c r="F89" i="10" s="1"/>
  <c r="G88" i="10"/>
  <c r="K88" i="10" s="1"/>
  <c r="F88" i="10"/>
  <c r="G87" i="10"/>
  <c r="G86" i="10"/>
  <c r="K86" i="10" s="1"/>
  <c r="F86" i="10"/>
  <c r="A84" i="10"/>
  <c r="M82" i="10"/>
  <c r="L82" i="10"/>
  <c r="H82" i="10"/>
  <c r="N86" i="10" s="1"/>
  <c r="M86" i="10" s="1"/>
  <c r="G82" i="10"/>
  <c r="A82" i="10"/>
  <c r="H79" i="10"/>
  <c r="A79" i="10"/>
  <c r="K76" i="10"/>
  <c r="L75" i="10"/>
  <c r="H75" i="10"/>
  <c r="E75" i="10"/>
  <c r="C75" i="10"/>
  <c r="K75" i="10" s="1"/>
  <c r="J75" i="10" s="1"/>
  <c r="A75" i="10"/>
  <c r="L74" i="10"/>
  <c r="H74" i="10"/>
  <c r="E74" i="10"/>
  <c r="C74" i="10" s="1"/>
  <c r="K74" i="10" s="1"/>
  <c r="J74" i="10" s="1"/>
  <c r="A74" i="10"/>
  <c r="L73" i="10"/>
  <c r="H73" i="10"/>
  <c r="E73" i="10"/>
  <c r="C73" i="10" s="1"/>
  <c r="K73" i="10" s="1"/>
  <c r="J73" i="10" s="1"/>
  <c r="A73" i="10"/>
  <c r="L72" i="10"/>
  <c r="H72" i="10"/>
  <c r="E72" i="10"/>
  <c r="C72" i="10" s="1"/>
  <c r="K72" i="10" s="1"/>
  <c r="J72" i="10" s="1"/>
  <c r="A72" i="10"/>
  <c r="E71" i="10"/>
  <c r="H71" i="10" s="1"/>
  <c r="A71" i="10"/>
  <c r="H70" i="10"/>
  <c r="C70" i="10"/>
  <c r="K70" i="10" s="1"/>
  <c r="J70" i="10" s="1"/>
  <c r="A70" i="10"/>
  <c r="A68" i="10"/>
  <c r="B66" i="10"/>
  <c r="L63" i="10"/>
  <c r="J63" i="10"/>
  <c r="H63" i="10"/>
  <c r="F63" i="10"/>
  <c r="B62" i="10"/>
  <c r="H61" i="10"/>
  <c r="A61" i="10"/>
  <c r="N58" i="10"/>
  <c r="E57" i="10"/>
  <c r="B57" i="10"/>
  <c r="E56" i="10"/>
  <c r="I56" i="10" s="1"/>
  <c r="D56" i="10"/>
  <c r="L56" i="10" s="1"/>
  <c r="K56" i="10" s="1"/>
  <c r="A56" i="10"/>
  <c r="B56" i="10" s="1"/>
  <c r="E55" i="10"/>
  <c r="I55" i="10" s="1"/>
  <c r="D55" i="10"/>
  <c r="L55" i="10" s="1"/>
  <c r="K55" i="10" s="1"/>
  <c r="A55" i="10"/>
  <c r="B55" i="10" s="1"/>
  <c r="I54" i="10"/>
  <c r="E54" i="10"/>
  <c r="D54" i="10"/>
  <c r="L54" i="10" s="1"/>
  <c r="K54" i="10" s="1"/>
  <c r="B54" i="10"/>
  <c r="A54" i="10"/>
  <c r="I53" i="10"/>
  <c r="D53" i="10"/>
  <c r="L53" i="10" s="1"/>
  <c r="K53" i="10" s="1"/>
  <c r="A53" i="10"/>
  <c r="B53" i="10" s="1"/>
  <c r="I52" i="10"/>
  <c r="D52" i="10"/>
  <c r="L52" i="10" s="1"/>
  <c r="K52" i="10" s="1"/>
  <c r="A52" i="10"/>
  <c r="B52" i="10" s="1"/>
  <c r="I51" i="10"/>
  <c r="D51" i="10"/>
  <c r="L51" i="10" s="1"/>
  <c r="K51" i="10" s="1"/>
  <c r="A51" i="10"/>
  <c r="B51" i="10" s="1"/>
  <c r="I50" i="10"/>
  <c r="D50" i="10"/>
  <c r="L50" i="10" s="1"/>
  <c r="K50" i="10" s="1"/>
  <c r="B50" i="10"/>
  <c r="A50" i="10"/>
  <c r="L49" i="10"/>
  <c r="K49" i="10" s="1"/>
  <c r="I49" i="10"/>
  <c r="D49" i="10"/>
  <c r="B49" i="10"/>
  <c r="A47" i="10"/>
  <c r="I46" i="10"/>
  <c r="A45" i="10"/>
  <c r="I43" i="10"/>
  <c r="H42" i="10"/>
  <c r="E42" i="10"/>
  <c r="G38" i="10"/>
  <c r="A38" i="10"/>
  <c r="I36" i="10"/>
  <c r="H35" i="10"/>
  <c r="E35" i="10"/>
  <c r="H32" i="10"/>
  <c r="A32" i="10"/>
  <c r="J30" i="10"/>
  <c r="I29" i="10"/>
  <c r="D28" i="10"/>
  <c r="L28" i="10" s="1"/>
  <c r="K28" i="10" s="1"/>
  <c r="B28" i="10"/>
  <c r="A28" i="10"/>
  <c r="I27" i="10"/>
  <c r="N27" i="10" s="1"/>
  <c r="E27" i="10"/>
  <c r="E28" i="10" s="1"/>
  <c r="I28" i="10" s="1"/>
  <c r="N28" i="10" s="1"/>
  <c r="P28" i="10" s="1"/>
  <c r="D27" i="10"/>
  <c r="L27" i="10" s="1"/>
  <c r="K27" i="10" s="1"/>
  <c r="B27" i="10"/>
  <c r="A27" i="10"/>
  <c r="I26" i="10"/>
  <c r="D26" i="10"/>
  <c r="B26" i="10"/>
  <c r="A26" i="10"/>
  <c r="A24" i="10"/>
  <c r="A22" i="10"/>
  <c r="A21" i="10"/>
  <c r="H20" i="10"/>
  <c r="A20" i="10"/>
  <c r="L17" i="10"/>
  <c r="C17" i="10"/>
  <c r="A17" i="10"/>
  <c r="K15" i="10"/>
  <c r="K13" i="10"/>
  <c r="M12" i="10"/>
  <c r="K11" i="10"/>
  <c r="K10" i="10"/>
  <c r="K7" i="10"/>
  <c r="K6" i="10"/>
  <c r="C6" i="10"/>
  <c r="J3" i="10"/>
  <c r="Q1" i="10"/>
  <c r="B130" i="9"/>
  <c r="A128" i="9"/>
  <c r="A125" i="9"/>
  <c r="A122" i="9"/>
  <c r="L119" i="9"/>
  <c r="J119" i="9"/>
  <c r="J120" i="9" s="1"/>
  <c r="J121" i="9" s="1"/>
  <c r="H119" i="9"/>
  <c r="H120" i="9" s="1"/>
  <c r="H121" i="9" s="1"/>
  <c r="F119" i="9"/>
  <c r="F120" i="9" s="1"/>
  <c r="F121" i="9" s="1"/>
  <c r="E119" i="9"/>
  <c r="E120" i="9" s="1"/>
  <c r="E121" i="9" s="1"/>
  <c r="C119" i="9"/>
  <c r="C120" i="9" s="1"/>
  <c r="C121" i="9" s="1"/>
  <c r="A118" i="9"/>
  <c r="J116" i="9"/>
  <c r="J117" i="9" s="1"/>
  <c r="H116" i="9"/>
  <c r="H117" i="9" s="1"/>
  <c r="F116" i="9"/>
  <c r="F117" i="9" s="1"/>
  <c r="E116" i="9"/>
  <c r="E117" i="9" s="1"/>
  <c r="A113" i="9"/>
  <c r="M111" i="9"/>
  <c r="L116" i="9" s="1"/>
  <c r="G108" i="9"/>
  <c r="A108" i="9"/>
  <c r="I105" i="9"/>
  <c r="A105" i="9"/>
  <c r="A104" i="9"/>
  <c r="K102" i="9"/>
  <c r="L101" i="9"/>
  <c r="H101" i="9"/>
  <c r="E101" i="9"/>
  <c r="C101" i="9" s="1"/>
  <c r="K101" i="9" s="1"/>
  <c r="J101" i="9" s="1"/>
  <c r="A101" i="9"/>
  <c r="L100" i="9"/>
  <c r="H100" i="9"/>
  <c r="E100" i="9"/>
  <c r="C100" i="9" s="1"/>
  <c r="K100" i="9" s="1"/>
  <c r="J100" i="9" s="1"/>
  <c r="A100" i="9"/>
  <c r="L99" i="9"/>
  <c r="H99" i="9"/>
  <c r="E99" i="9"/>
  <c r="C99" i="9"/>
  <c r="K99" i="9" s="1"/>
  <c r="J99" i="9" s="1"/>
  <c r="A99" i="9"/>
  <c r="L98" i="9"/>
  <c r="H98" i="9"/>
  <c r="E98" i="9"/>
  <c r="C98" i="9"/>
  <c r="K98" i="9" s="1"/>
  <c r="J98" i="9" s="1"/>
  <c r="A98" i="9"/>
  <c r="L97" i="9"/>
  <c r="H97" i="9"/>
  <c r="E97" i="9"/>
  <c r="C97" i="9"/>
  <c r="K97" i="9" s="1"/>
  <c r="J97" i="9" s="1"/>
  <c r="A97" i="9"/>
  <c r="L96" i="9"/>
  <c r="H96" i="9"/>
  <c r="E96" i="9"/>
  <c r="C96" i="9" s="1"/>
  <c r="K96" i="9" s="1"/>
  <c r="J96" i="9" s="1"/>
  <c r="A96" i="9"/>
  <c r="L95" i="9"/>
  <c r="H95" i="9"/>
  <c r="E95" i="9"/>
  <c r="C95" i="9" s="1"/>
  <c r="K95" i="9" s="1"/>
  <c r="J95" i="9" s="1"/>
  <c r="A95" i="9"/>
  <c r="L94" i="9"/>
  <c r="H94" i="9"/>
  <c r="E94" i="9"/>
  <c r="C94" i="9" s="1"/>
  <c r="K94" i="9" s="1"/>
  <c r="J94" i="9" s="1"/>
  <c r="A94" i="9"/>
  <c r="L93" i="9"/>
  <c r="N94" i="9" s="1"/>
  <c r="K93" i="9"/>
  <c r="J93" i="9" s="1"/>
  <c r="H93" i="9"/>
  <c r="E93" i="9"/>
  <c r="C93" i="9"/>
  <c r="A93" i="9"/>
  <c r="L92" i="9"/>
  <c r="H92" i="9"/>
  <c r="C92" i="9"/>
  <c r="K92" i="9" s="1"/>
  <c r="J92" i="9" s="1"/>
  <c r="A92" i="9"/>
  <c r="A90" i="9"/>
  <c r="B88" i="9"/>
  <c r="J87" i="9"/>
  <c r="J85" i="9"/>
  <c r="H85" i="9"/>
  <c r="F85" i="9"/>
  <c r="D85" i="9"/>
  <c r="B85" i="9"/>
  <c r="J83" i="9"/>
  <c r="H83" i="9"/>
  <c r="F83" i="9"/>
  <c r="D83" i="9"/>
  <c r="B82" i="9"/>
  <c r="H81" i="9"/>
  <c r="A81" i="9"/>
  <c r="M79" i="9"/>
  <c r="N78" i="9"/>
  <c r="K78" i="9"/>
  <c r="D78" i="9"/>
  <c r="J78" i="9" s="1"/>
  <c r="I78" i="9" s="1"/>
  <c r="A78" i="9"/>
  <c r="G78" i="9" s="1"/>
  <c r="K77" i="9"/>
  <c r="N77" i="9" s="1"/>
  <c r="D77" i="9"/>
  <c r="J77" i="9" s="1"/>
  <c r="I77" i="9" s="1"/>
  <c r="A77" i="9"/>
  <c r="G77" i="9" s="1"/>
  <c r="N76" i="9"/>
  <c r="K76" i="9"/>
  <c r="D76" i="9"/>
  <c r="J76" i="9" s="1"/>
  <c r="I76" i="9" s="1"/>
  <c r="A76" i="9"/>
  <c r="G76" i="9" s="1"/>
  <c r="K75" i="9"/>
  <c r="N75" i="9" s="1"/>
  <c r="D75" i="9"/>
  <c r="J75" i="9" s="1"/>
  <c r="I75" i="9" s="1"/>
  <c r="A75" i="9"/>
  <c r="G75" i="9" s="1"/>
  <c r="N74" i="9"/>
  <c r="K74" i="9"/>
  <c r="G74" i="9"/>
  <c r="D74" i="9"/>
  <c r="J74" i="9" s="1"/>
  <c r="I74" i="9" s="1"/>
  <c r="K73" i="9"/>
  <c r="N73" i="9" s="1"/>
  <c r="G73" i="9"/>
  <c r="D73" i="9"/>
  <c r="J73" i="9" s="1"/>
  <c r="I73" i="9" s="1"/>
  <c r="K72" i="9"/>
  <c r="N72" i="9" s="1"/>
  <c r="G72" i="9"/>
  <c r="D72" i="9"/>
  <c r="J72" i="9" s="1"/>
  <c r="I72" i="9" s="1"/>
  <c r="K71" i="9"/>
  <c r="N71" i="9" s="1"/>
  <c r="G71" i="9"/>
  <c r="D71" i="9"/>
  <c r="J71" i="9" s="1"/>
  <c r="I71" i="9" s="1"/>
  <c r="K70" i="9"/>
  <c r="N70" i="9" s="1"/>
  <c r="G70" i="9"/>
  <c r="D70" i="9"/>
  <c r="J70" i="9" s="1"/>
  <c r="I70" i="9" s="1"/>
  <c r="A67" i="9"/>
  <c r="A65" i="9"/>
  <c r="H64" i="9"/>
  <c r="A64" i="9"/>
  <c r="A58" i="9"/>
  <c r="A56" i="9"/>
  <c r="O54" i="9"/>
  <c r="I53" i="9"/>
  <c r="E53" i="9"/>
  <c r="M53" i="9" s="1"/>
  <c r="P53" i="9" s="1"/>
  <c r="D53" i="9"/>
  <c r="L53" i="9" s="1"/>
  <c r="K53" i="9" s="1"/>
  <c r="B53" i="9"/>
  <c r="I52" i="9"/>
  <c r="E52" i="9"/>
  <c r="D52" i="9" s="1"/>
  <c r="L52" i="9" s="1"/>
  <c r="K52" i="9" s="1"/>
  <c r="A52" i="9"/>
  <c r="B52" i="9" s="1"/>
  <c r="I51" i="9"/>
  <c r="E51" i="9"/>
  <c r="M51" i="9" s="1"/>
  <c r="P51" i="9" s="1"/>
  <c r="D51" i="9"/>
  <c r="L51" i="9" s="1"/>
  <c r="K51" i="9" s="1"/>
  <c r="A51" i="9"/>
  <c r="B51" i="9" s="1"/>
  <c r="I50" i="9"/>
  <c r="E50" i="9"/>
  <c r="M50" i="9" s="1"/>
  <c r="P50" i="9" s="1"/>
  <c r="D50" i="9"/>
  <c r="L50" i="9" s="1"/>
  <c r="K50" i="9" s="1"/>
  <c r="A50" i="9"/>
  <c r="B50" i="9" s="1"/>
  <c r="P49" i="9"/>
  <c r="M49" i="9"/>
  <c r="L49" i="9"/>
  <c r="K49" i="9" s="1"/>
  <c r="I49" i="9"/>
  <c r="D49" i="9"/>
  <c r="A49" i="9"/>
  <c r="B49" i="9" s="1"/>
  <c r="M48" i="9"/>
  <c r="P48" i="9" s="1"/>
  <c r="I48" i="9"/>
  <c r="D48" i="9"/>
  <c r="L48" i="9" s="1"/>
  <c r="K48" i="9" s="1"/>
  <c r="A48" i="9"/>
  <c r="B48" i="9" s="1"/>
  <c r="M47" i="9"/>
  <c r="P47" i="9" s="1"/>
  <c r="I47" i="9"/>
  <c r="D47" i="9"/>
  <c r="L47" i="9" s="1"/>
  <c r="K47" i="9" s="1"/>
  <c r="A47" i="9"/>
  <c r="B47" i="9" s="1"/>
  <c r="P46" i="9"/>
  <c r="M46" i="9"/>
  <c r="I46" i="9"/>
  <c r="D46" i="9"/>
  <c r="L46" i="9" s="1"/>
  <c r="K46" i="9" s="1"/>
  <c r="A46" i="9"/>
  <c r="B46" i="9" s="1"/>
  <c r="M45" i="9"/>
  <c r="P45" i="9" s="1"/>
  <c r="I45" i="9"/>
  <c r="D45" i="9"/>
  <c r="L45" i="9" s="1"/>
  <c r="K45" i="9" s="1"/>
  <c r="B45" i="9"/>
  <c r="A43" i="9"/>
  <c r="I42" i="9"/>
  <c r="A41" i="9"/>
  <c r="I39" i="9"/>
  <c r="J38" i="9"/>
  <c r="J39" i="9" s="1"/>
  <c r="H38" i="9"/>
  <c r="E38" i="9"/>
  <c r="G34" i="9"/>
  <c r="A34" i="9"/>
  <c r="I32" i="9"/>
  <c r="J31" i="9"/>
  <c r="J32" i="9" s="1"/>
  <c r="H31" i="9"/>
  <c r="E31" i="9"/>
  <c r="H28" i="9"/>
  <c r="A28" i="9"/>
  <c r="J26" i="9"/>
  <c r="I25" i="9"/>
  <c r="I24" i="9"/>
  <c r="E24" i="9"/>
  <c r="D24" i="9"/>
  <c r="L24" i="9" s="1"/>
  <c r="K24" i="9" s="1"/>
  <c r="B24" i="9"/>
  <c r="A24" i="9"/>
  <c r="I23" i="9"/>
  <c r="E23" i="9"/>
  <c r="D23" i="9" s="1"/>
  <c r="L23" i="9" s="1"/>
  <c r="K23" i="9" s="1"/>
  <c r="M23" i="9" s="1"/>
  <c r="B23" i="9"/>
  <c r="A23" i="9"/>
  <c r="I22" i="9"/>
  <c r="D22" i="9"/>
  <c r="L22" i="9" s="1"/>
  <c r="K22" i="9" s="1"/>
  <c r="B22" i="9"/>
  <c r="A22" i="9"/>
  <c r="A20" i="9"/>
  <c r="A19" i="9"/>
  <c r="H18" i="9"/>
  <c r="A18" i="9"/>
  <c r="L16" i="9"/>
  <c r="C16" i="9"/>
  <c r="A16" i="9"/>
  <c r="K14" i="9"/>
  <c r="K12" i="9"/>
  <c r="M11" i="9"/>
  <c r="K10" i="9"/>
  <c r="K9" i="9"/>
  <c r="K7" i="9"/>
  <c r="K6" i="9"/>
  <c r="C6" i="9"/>
  <c r="K5" i="9"/>
  <c r="J3" i="9"/>
  <c r="Q1" i="9"/>
  <c r="B93" i="8"/>
  <c r="A91" i="8"/>
  <c r="A88" i="8"/>
  <c r="A85" i="8"/>
  <c r="A84" i="8"/>
  <c r="B82" i="8"/>
  <c r="A81" i="8"/>
  <c r="M79" i="8"/>
  <c r="K78" i="8"/>
  <c r="N78" i="8" s="1"/>
  <c r="I78" i="8"/>
  <c r="D78" i="8"/>
  <c r="J78" i="8" s="1"/>
  <c r="A78" i="8"/>
  <c r="G78" i="8" s="1"/>
  <c r="N77" i="8"/>
  <c r="K77" i="8"/>
  <c r="J77" i="8"/>
  <c r="I77" i="8"/>
  <c r="D77" i="8"/>
  <c r="A77" i="8"/>
  <c r="G77" i="8" s="1"/>
  <c r="K76" i="8"/>
  <c r="N76" i="8" s="1"/>
  <c r="I76" i="8"/>
  <c r="D76" i="8"/>
  <c r="J76" i="8" s="1"/>
  <c r="A76" i="8"/>
  <c r="G76" i="8" s="1"/>
  <c r="K75" i="8"/>
  <c r="N75" i="8" s="1"/>
  <c r="I75" i="8"/>
  <c r="D75" i="8"/>
  <c r="J75" i="8" s="1"/>
  <c r="A75" i="8"/>
  <c r="G75" i="8" s="1"/>
  <c r="K74" i="8"/>
  <c r="N74" i="8" s="1"/>
  <c r="I74" i="8"/>
  <c r="G74" i="8"/>
  <c r="D74" i="8"/>
  <c r="J74" i="8" s="1"/>
  <c r="K73" i="8"/>
  <c r="N73" i="8" s="1"/>
  <c r="I73" i="8"/>
  <c r="G73" i="8"/>
  <c r="D73" i="8"/>
  <c r="J73" i="8" s="1"/>
  <c r="K72" i="8"/>
  <c r="N72" i="8" s="1"/>
  <c r="I72" i="8"/>
  <c r="G72" i="8"/>
  <c r="D72" i="8"/>
  <c r="J72" i="8" s="1"/>
  <c r="K71" i="8"/>
  <c r="N71" i="8" s="1"/>
  <c r="I71" i="8"/>
  <c r="G71" i="8"/>
  <c r="D71" i="8"/>
  <c r="J71" i="8" s="1"/>
  <c r="K70" i="8"/>
  <c r="N70" i="8" s="1"/>
  <c r="N79" i="8" s="1"/>
  <c r="I70" i="8"/>
  <c r="G70" i="8"/>
  <c r="D70" i="8"/>
  <c r="J70" i="8" s="1"/>
  <c r="A67" i="8"/>
  <c r="A65" i="8"/>
  <c r="I64" i="8"/>
  <c r="A64" i="8"/>
  <c r="A58" i="8"/>
  <c r="A56" i="8"/>
  <c r="O54" i="8"/>
  <c r="K53" i="8"/>
  <c r="I53" i="8"/>
  <c r="E53" i="8"/>
  <c r="M53" i="8" s="1"/>
  <c r="P53" i="8" s="1"/>
  <c r="D53" i="8"/>
  <c r="L53" i="8" s="1"/>
  <c r="B53" i="8"/>
  <c r="I52" i="8"/>
  <c r="E52" i="8"/>
  <c r="M52" i="8" s="1"/>
  <c r="P52" i="8" s="1"/>
  <c r="D52" i="8"/>
  <c r="L52" i="8" s="1"/>
  <c r="K52" i="8" s="1"/>
  <c r="B52" i="8"/>
  <c r="A52" i="8"/>
  <c r="P51" i="8"/>
  <c r="I51" i="8"/>
  <c r="E51" i="8"/>
  <c r="M51" i="8" s="1"/>
  <c r="D51" i="8"/>
  <c r="L51" i="8" s="1"/>
  <c r="K51" i="8" s="1"/>
  <c r="B51" i="8"/>
  <c r="A51" i="8"/>
  <c r="L50" i="8"/>
  <c r="K50" i="8" s="1"/>
  <c r="I50" i="8"/>
  <c r="E50" i="8"/>
  <c r="M50" i="8" s="1"/>
  <c r="P50" i="8" s="1"/>
  <c r="D50" i="8"/>
  <c r="B50" i="8"/>
  <c r="A50" i="8"/>
  <c r="P49" i="8"/>
  <c r="M49" i="8"/>
  <c r="L49" i="8"/>
  <c r="K49" i="8" s="1"/>
  <c r="I49" i="8"/>
  <c r="D49" i="8"/>
  <c r="B49" i="8"/>
  <c r="A49" i="8"/>
  <c r="M48" i="8"/>
  <c r="P48" i="8" s="1"/>
  <c r="I48" i="8"/>
  <c r="D48" i="8"/>
  <c r="L48" i="8" s="1"/>
  <c r="K48" i="8" s="1"/>
  <c r="B48" i="8"/>
  <c r="A48" i="8"/>
  <c r="M47" i="8"/>
  <c r="P47" i="8" s="1"/>
  <c r="I47" i="8"/>
  <c r="D47" i="8"/>
  <c r="L47" i="8" s="1"/>
  <c r="K47" i="8" s="1"/>
  <c r="B47" i="8"/>
  <c r="A47" i="8"/>
  <c r="M46" i="8"/>
  <c r="P46" i="8" s="1"/>
  <c r="I46" i="8"/>
  <c r="D46" i="8"/>
  <c r="L46" i="8" s="1"/>
  <c r="K46" i="8" s="1"/>
  <c r="B46" i="8"/>
  <c r="A46" i="8"/>
  <c r="P45" i="8"/>
  <c r="M45" i="8"/>
  <c r="L45" i="8"/>
  <c r="K45" i="8" s="1"/>
  <c r="I45" i="8"/>
  <c r="D45" i="8"/>
  <c r="B45" i="8"/>
  <c r="A43" i="8"/>
  <c r="I42" i="8"/>
  <c r="A41" i="8"/>
  <c r="I39" i="8"/>
  <c r="J38" i="8"/>
  <c r="J39" i="8" s="1"/>
  <c r="H38" i="8"/>
  <c r="E38" i="8"/>
  <c r="G34" i="8"/>
  <c r="A34" i="8"/>
  <c r="I32" i="8"/>
  <c r="H31" i="8"/>
  <c r="E31" i="8"/>
  <c r="I28" i="8"/>
  <c r="A28" i="8"/>
  <c r="J26" i="8"/>
  <c r="I25" i="8"/>
  <c r="I24" i="8"/>
  <c r="E24" i="8"/>
  <c r="D24" i="8"/>
  <c r="L24" i="8" s="1"/>
  <c r="K24" i="8" s="1"/>
  <c r="B24" i="8"/>
  <c r="A24" i="8"/>
  <c r="I23" i="8"/>
  <c r="E23" i="8"/>
  <c r="D23" i="8"/>
  <c r="L23" i="8" s="1"/>
  <c r="K23" i="8" s="1"/>
  <c r="B23" i="8"/>
  <c r="A23" i="8"/>
  <c r="I22" i="8"/>
  <c r="D22" i="8"/>
  <c r="L22" i="8" s="1"/>
  <c r="K22" i="8" s="1"/>
  <c r="M22" i="8" s="1"/>
  <c r="B22" i="8"/>
  <c r="A22" i="8"/>
  <c r="A20" i="8"/>
  <c r="A19" i="8"/>
  <c r="I18" i="8"/>
  <c r="A18" i="8"/>
  <c r="L16" i="8"/>
  <c r="C16" i="8"/>
  <c r="A16" i="8"/>
  <c r="K14" i="8"/>
  <c r="K12" i="8"/>
  <c r="M11" i="8"/>
  <c r="K10" i="8"/>
  <c r="K9" i="8"/>
  <c r="K7" i="8"/>
  <c r="K6" i="8"/>
  <c r="C6" i="8"/>
  <c r="K5" i="8"/>
  <c r="J3" i="8"/>
  <c r="Q1" i="8"/>
  <c r="B153" i="7"/>
  <c r="A150" i="7"/>
  <c r="A147" i="7"/>
  <c r="I144" i="7"/>
  <c r="A144" i="7"/>
  <c r="A143" i="7"/>
  <c r="I140" i="7"/>
  <c r="H139" i="7"/>
  <c r="D139" i="7"/>
  <c r="M139" i="7" s="1"/>
  <c r="B139" i="7"/>
  <c r="K139" i="7" s="1"/>
  <c r="J139" i="7" s="1"/>
  <c r="H138" i="7"/>
  <c r="D138" i="7"/>
  <c r="M138" i="7" s="1"/>
  <c r="B138" i="7"/>
  <c r="K138" i="7" s="1"/>
  <c r="J138" i="7" s="1"/>
  <c r="L138" i="7" s="1"/>
  <c r="H137" i="7"/>
  <c r="D137" i="7"/>
  <c r="M137" i="7" s="1"/>
  <c r="B137" i="7"/>
  <c r="K137" i="7" s="1"/>
  <c r="J137" i="7" s="1"/>
  <c r="M136" i="7"/>
  <c r="M135" i="7"/>
  <c r="B134" i="7"/>
  <c r="I131" i="7"/>
  <c r="M130" i="7"/>
  <c r="H130" i="7"/>
  <c r="D130" i="7"/>
  <c r="B130" i="7"/>
  <c r="K130" i="7" s="1"/>
  <c r="J130" i="7" s="1"/>
  <c r="L130" i="7" s="1"/>
  <c r="H129" i="7"/>
  <c r="D129" i="7"/>
  <c r="M129" i="7" s="1"/>
  <c r="B129" i="7"/>
  <c r="K129" i="7" s="1"/>
  <c r="J129" i="7" s="1"/>
  <c r="M128" i="7"/>
  <c r="H128" i="7"/>
  <c r="B128" i="7"/>
  <c r="K128" i="7" s="1"/>
  <c r="J128" i="7" s="1"/>
  <c r="M127" i="7"/>
  <c r="M126" i="7"/>
  <c r="B125" i="7"/>
  <c r="I120" i="7"/>
  <c r="D120" i="7"/>
  <c r="D116" i="7"/>
  <c r="A116" i="7"/>
  <c r="O115" i="7"/>
  <c r="K115" i="7"/>
  <c r="A115" i="7"/>
  <c r="K111" i="7"/>
  <c r="L110" i="7"/>
  <c r="H110" i="7"/>
  <c r="E110" i="7"/>
  <c r="P110" i="7" s="1"/>
  <c r="C110" i="7"/>
  <c r="K110" i="7" s="1"/>
  <c r="J110" i="7" s="1"/>
  <c r="A110" i="7"/>
  <c r="P109" i="7"/>
  <c r="L109" i="7"/>
  <c r="H109" i="7"/>
  <c r="E109" i="7"/>
  <c r="C109" i="7"/>
  <c r="K109" i="7" s="1"/>
  <c r="J109" i="7" s="1"/>
  <c r="A109" i="7"/>
  <c r="L108" i="7"/>
  <c r="H108" i="7"/>
  <c r="E108" i="7"/>
  <c r="P108" i="7" s="1"/>
  <c r="C108" i="7"/>
  <c r="K108" i="7" s="1"/>
  <c r="J108" i="7" s="1"/>
  <c r="A108" i="7"/>
  <c r="L107" i="7"/>
  <c r="H107" i="7"/>
  <c r="E107" i="7"/>
  <c r="P107" i="7" s="1"/>
  <c r="C107" i="7"/>
  <c r="K107" i="7" s="1"/>
  <c r="J107" i="7" s="1"/>
  <c r="A107" i="7"/>
  <c r="L106" i="7"/>
  <c r="H106" i="7"/>
  <c r="E106" i="7"/>
  <c r="P106" i="7" s="1"/>
  <c r="C106" i="7"/>
  <c r="K106" i="7" s="1"/>
  <c r="J106" i="7" s="1"/>
  <c r="A106" i="7"/>
  <c r="P105" i="7"/>
  <c r="L105" i="7"/>
  <c r="H105" i="7"/>
  <c r="E105" i="7"/>
  <c r="C105" i="7"/>
  <c r="K105" i="7" s="1"/>
  <c r="J105" i="7" s="1"/>
  <c r="A105" i="7"/>
  <c r="P104" i="7"/>
  <c r="L104" i="7"/>
  <c r="H104" i="7"/>
  <c r="E104" i="7"/>
  <c r="C104" i="7"/>
  <c r="K104" i="7" s="1"/>
  <c r="J104" i="7" s="1"/>
  <c r="A104" i="7"/>
  <c r="L103" i="7"/>
  <c r="H103" i="7"/>
  <c r="E103" i="7"/>
  <c r="P103" i="7" s="1"/>
  <c r="C103" i="7"/>
  <c r="K103" i="7" s="1"/>
  <c r="J103" i="7" s="1"/>
  <c r="A103" i="7"/>
  <c r="L102" i="7"/>
  <c r="H102" i="7"/>
  <c r="E102" i="7"/>
  <c r="P102" i="7" s="1"/>
  <c r="C102" i="7"/>
  <c r="K102" i="7" s="1"/>
  <c r="J102" i="7" s="1"/>
  <c r="A102" i="7"/>
  <c r="L101" i="7"/>
  <c r="H101" i="7"/>
  <c r="E101" i="7"/>
  <c r="P101" i="7" s="1"/>
  <c r="C101" i="7"/>
  <c r="K101" i="7" s="1"/>
  <c r="J101" i="7" s="1"/>
  <c r="A101" i="7"/>
  <c r="P100" i="7"/>
  <c r="L100" i="7"/>
  <c r="H100" i="7"/>
  <c r="E100" i="7"/>
  <c r="C100" i="7"/>
  <c r="K100" i="7" s="1"/>
  <c r="J100" i="7" s="1"/>
  <c r="A100" i="7"/>
  <c r="P99" i="7"/>
  <c r="L99" i="7"/>
  <c r="H99" i="7"/>
  <c r="C99" i="7"/>
  <c r="K99" i="7" s="1"/>
  <c r="J99" i="7" s="1"/>
  <c r="A99" i="7"/>
  <c r="P98" i="7"/>
  <c r="P97" i="7"/>
  <c r="A97" i="7"/>
  <c r="B95" i="7"/>
  <c r="J94" i="7"/>
  <c r="L92" i="7"/>
  <c r="J92" i="7"/>
  <c r="H92" i="7"/>
  <c r="F92" i="7"/>
  <c r="D92" i="7"/>
  <c r="B92" i="7"/>
  <c r="L90" i="7"/>
  <c r="J90" i="7"/>
  <c r="H90" i="7"/>
  <c r="F90" i="7"/>
  <c r="D90" i="7"/>
  <c r="B89" i="7"/>
  <c r="H88" i="7"/>
  <c r="A88" i="7"/>
  <c r="M86" i="7"/>
  <c r="O85" i="7"/>
  <c r="K85" i="7"/>
  <c r="N85" i="7" s="1"/>
  <c r="G85" i="7"/>
  <c r="D85" i="7"/>
  <c r="J85" i="7" s="1"/>
  <c r="I85" i="7" s="1"/>
  <c r="A85" i="7"/>
  <c r="O84" i="7"/>
  <c r="K84" i="7"/>
  <c r="N84" i="7" s="1"/>
  <c r="G84" i="7"/>
  <c r="D84" i="7"/>
  <c r="J84" i="7" s="1"/>
  <c r="I84" i="7" s="1"/>
  <c r="A84" i="7"/>
  <c r="O83" i="7"/>
  <c r="K83" i="7"/>
  <c r="N83" i="7" s="1"/>
  <c r="I83" i="7"/>
  <c r="G83" i="7"/>
  <c r="D83" i="7"/>
  <c r="J83" i="7" s="1"/>
  <c r="A83" i="7"/>
  <c r="O82" i="7"/>
  <c r="K82" i="7"/>
  <c r="N82" i="7" s="1"/>
  <c r="G82" i="7"/>
  <c r="D82" i="7"/>
  <c r="J82" i="7" s="1"/>
  <c r="I82" i="7" s="1"/>
  <c r="A82" i="7"/>
  <c r="O81" i="7"/>
  <c r="K81" i="7"/>
  <c r="N81" i="7" s="1"/>
  <c r="G81" i="7"/>
  <c r="D81" i="7"/>
  <c r="J81" i="7" s="1"/>
  <c r="I81" i="7" s="1"/>
  <c r="O80" i="7"/>
  <c r="K80" i="7"/>
  <c r="N80" i="7" s="1"/>
  <c r="G80" i="7"/>
  <c r="D80" i="7"/>
  <c r="J80" i="7" s="1"/>
  <c r="I80" i="7" s="1"/>
  <c r="O79" i="7"/>
  <c r="K79" i="7"/>
  <c r="N79" i="7" s="1"/>
  <c r="G79" i="7"/>
  <c r="D79" i="7"/>
  <c r="J79" i="7" s="1"/>
  <c r="I79" i="7" s="1"/>
  <c r="O78" i="7"/>
  <c r="K78" i="7"/>
  <c r="N78" i="7" s="1"/>
  <c r="G78" i="7"/>
  <c r="D78" i="7"/>
  <c r="J78" i="7" s="1"/>
  <c r="I78" i="7" s="1"/>
  <c r="O77" i="7"/>
  <c r="K77" i="7"/>
  <c r="N77" i="7" s="1"/>
  <c r="G77" i="7"/>
  <c r="D77" i="7"/>
  <c r="J77" i="7" s="1"/>
  <c r="I77" i="7" s="1"/>
  <c r="O76" i="7"/>
  <c r="O75" i="7"/>
  <c r="A74" i="7"/>
  <c r="A72" i="7"/>
  <c r="H71" i="7"/>
  <c r="A71" i="7"/>
  <c r="A68" i="7"/>
  <c r="A66" i="7"/>
  <c r="N64" i="7"/>
  <c r="P63" i="7"/>
  <c r="I63" i="7"/>
  <c r="E63" i="7"/>
  <c r="D63" i="7" s="1"/>
  <c r="L63" i="7" s="1"/>
  <c r="K63" i="7" s="1"/>
  <c r="B63" i="7"/>
  <c r="P62" i="7"/>
  <c r="I62" i="7"/>
  <c r="E62" i="7"/>
  <c r="M62" i="7" s="1"/>
  <c r="O62" i="7" s="1"/>
  <c r="A62" i="7"/>
  <c r="B62" i="7" s="1"/>
  <c r="P61" i="7"/>
  <c r="I61" i="7"/>
  <c r="E61" i="7"/>
  <c r="A61" i="7"/>
  <c r="B61" i="7" s="1"/>
  <c r="P60" i="7"/>
  <c r="I60" i="7"/>
  <c r="E60" i="7"/>
  <c r="D60" i="7" s="1"/>
  <c r="L60" i="7" s="1"/>
  <c r="K60" i="7" s="1"/>
  <c r="A60" i="7"/>
  <c r="B60" i="7" s="1"/>
  <c r="P59" i="7"/>
  <c r="I59" i="7"/>
  <c r="M59" i="7" s="1"/>
  <c r="O59" i="7" s="1"/>
  <c r="D59" i="7"/>
  <c r="L59" i="7" s="1"/>
  <c r="K59" i="7" s="1"/>
  <c r="A59" i="7"/>
  <c r="B59" i="7" s="1"/>
  <c r="P58" i="7"/>
  <c r="I58" i="7"/>
  <c r="M58" i="7" s="1"/>
  <c r="O58" i="7" s="1"/>
  <c r="D58" i="7"/>
  <c r="L58" i="7" s="1"/>
  <c r="K58" i="7" s="1"/>
  <c r="B58" i="7"/>
  <c r="A58" i="7"/>
  <c r="P57" i="7"/>
  <c r="I57" i="7"/>
  <c r="M57" i="7" s="1"/>
  <c r="O57" i="7" s="1"/>
  <c r="D57" i="7"/>
  <c r="L57" i="7" s="1"/>
  <c r="K57" i="7" s="1"/>
  <c r="A57" i="7"/>
  <c r="B57" i="7" s="1"/>
  <c r="P56" i="7"/>
  <c r="I56" i="7"/>
  <c r="M56" i="7" s="1"/>
  <c r="O56" i="7" s="1"/>
  <c r="D56" i="7"/>
  <c r="L56" i="7" s="1"/>
  <c r="K56" i="7" s="1"/>
  <c r="B56" i="7"/>
  <c r="A56" i="7"/>
  <c r="P55" i="7"/>
  <c r="I55" i="7"/>
  <c r="M55" i="7" s="1"/>
  <c r="O55" i="7" s="1"/>
  <c r="D55" i="7"/>
  <c r="L55" i="7" s="1"/>
  <c r="K55" i="7" s="1"/>
  <c r="B55" i="7"/>
  <c r="P54" i="7"/>
  <c r="P53" i="7"/>
  <c r="A53" i="7"/>
  <c r="I52" i="7"/>
  <c r="A51" i="7"/>
  <c r="I49" i="7"/>
  <c r="H48" i="7"/>
  <c r="E48" i="7"/>
  <c r="J48" i="7" s="1"/>
  <c r="J49" i="7" s="1"/>
  <c r="G44" i="7"/>
  <c r="A44" i="7"/>
  <c r="I42" i="7"/>
  <c r="H41" i="7"/>
  <c r="E41" i="7"/>
  <c r="H38" i="7"/>
  <c r="A38" i="7"/>
  <c r="D36" i="7"/>
  <c r="J35" i="7"/>
  <c r="I34" i="7"/>
  <c r="L36" i="7" s="1"/>
  <c r="P33" i="7"/>
  <c r="I33" i="7"/>
  <c r="N33" i="7" s="1"/>
  <c r="D33" i="7"/>
  <c r="L33" i="7" s="1"/>
  <c r="K33" i="7" s="1"/>
  <c r="B33" i="7"/>
  <c r="A33" i="7"/>
  <c r="P32" i="7"/>
  <c r="I32" i="7"/>
  <c r="N32" i="7" s="1"/>
  <c r="E32" i="7"/>
  <c r="E33" i="7" s="1"/>
  <c r="D32" i="7"/>
  <c r="L32" i="7" s="1"/>
  <c r="K32" i="7" s="1"/>
  <c r="B32" i="7"/>
  <c r="A32" i="7"/>
  <c r="P31" i="7"/>
  <c r="I31" i="7"/>
  <c r="N31" i="7" s="1"/>
  <c r="D31" i="7"/>
  <c r="L31" i="7" s="1"/>
  <c r="K31" i="7" s="1"/>
  <c r="B31" i="7"/>
  <c r="A31" i="7"/>
  <c r="P30" i="7"/>
  <c r="P29" i="7"/>
  <c r="A29" i="7"/>
  <c r="A28" i="7"/>
  <c r="A27" i="7"/>
  <c r="A26" i="7"/>
  <c r="H25" i="7"/>
  <c r="A25" i="7"/>
  <c r="N22" i="7"/>
  <c r="J22" i="7"/>
  <c r="D22" i="7"/>
  <c r="A22" i="7"/>
  <c r="H21" i="7"/>
  <c r="A21" i="7"/>
  <c r="H20" i="7"/>
  <c r="A20" i="7"/>
  <c r="A19" i="7"/>
  <c r="A18" i="7"/>
  <c r="L16" i="7"/>
  <c r="C16" i="7"/>
  <c r="A16" i="7"/>
  <c r="K14" i="7"/>
  <c r="K12" i="7"/>
  <c r="M11" i="7"/>
  <c r="K10" i="7"/>
  <c r="K9" i="7"/>
  <c r="K7" i="7"/>
  <c r="K6" i="7"/>
  <c r="C6" i="7"/>
  <c r="K5" i="7"/>
  <c r="J3" i="7"/>
  <c r="Q2" i="7"/>
  <c r="Q1" i="7"/>
  <c r="B119" i="6"/>
  <c r="A117" i="6"/>
  <c r="A114" i="6"/>
  <c r="I111" i="6"/>
  <c r="A111" i="6"/>
  <c r="A110" i="6"/>
  <c r="K108" i="6"/>
  <c r="L107" i="6"/>
  <c r="H107" i="6"/>
  <c r="E107" i="6"/>
  <c r="P107" i="6" s="1"/>
  <c r="C107" i="6"/>
  <c r="K107" i="6" s="1"/>
  <c r="J107" i="6" s="1"/>
  <c r="A107" i="6"/>
  <c r="L106" i="6"/>
  <c r="H106" i="6"/>
  <c r="E106" i="6"/>
  <c r="P106" i="6" s="1"/>
  <c r="C106" i="6"/>
  <c r="K106" i="6" s="1"/>
  <c r="J106" i="6" s="1"/>
  <c r="A106" i="6"/>
  <c r="L105" i="6"/>
  <c r="H105" i="6"/>
  <c r="E105" i="6"/>
  <c r="P105" i="6" s="1"/>
  <c r="C105" i="6"/>
  <c r="K105" i="6" s="1"/>
  <c r="J105" i="6" s="1"/>
  <c r="A105" i="6"/>
  <c r="L104" i="6"/>
  <c r="H104" i="6"/>
  <c r="E104" i="6"/>
  <c r="P104" i="6" s="1"/>
  <c r="C104" i="6"/>
  <c r="K104" i="6" s="1"/>
  <c r="J104" i="6" s="1"/>
  <c r="A104" i="6"/>
  <c r="L103" i="6"/>
  <c r="H103" i="6"/>
  <c r="E103" i="6"/>
  <c r="P103" i="6" s="1"/>
  <c r="C103" i="6"/>
  <c r="K103" i="6" s="1"/>
  <c r="J103" i="6" s="1"/>
  <c r="A103" i="6"/>
  <c r="L102" i="6"/>
  <c r="H102" i="6"/>
  <c r="E102" i="6"/>
  <c r="P102" i="6" s="1"/>
  <c r="C102" i="6"/>
  <c r="K102" i="6" s="1"/>
  <c r="J102" i="6" s="1"/>
  <c r="A102" i="6"/>
  <c r="L101" i="6"/>
  <c r="H101" i="6"/>
  <c r="E101" i="6"/>
  <c r="P101" i="6" s="1"/>
  <c r="C101" i="6"/>
  <c r="K101" i="6" s="1"/>
  <c r="J101" i="6" s="1"/>
  <c r="A101" i="6"/>
  <c r="P100" i="6"/>
  <c r="L100" i="6"/>
  <c r="K100" i="6"/>
  <c r="J100" i="6" s="1"/>
  <c r="H100" i="6"/>
  <c r="E100" i="6"/>
  <c r="C100" i="6"/>
  <c r="A100" i="6"/>
  <c r="L99" i="6"/>
  <c r="K99" i="6"/>
  <c r="J99" i="6"/>
  <c r="H99" i="6"/>
  <c r="E99" i="6"/>
  <c r="P99" i="6" s="1"/>
  <c r="C99" i="6"/>
  <c r="A99" i="6"/>
  <c r="P98" i="6"/>
  <c r="L98" i="6"/>
  <c r="K98" i="6"/>
  <c r="J98" i="6" s="1"/>
  <c r="H98" i="6"/>
  <c r="C98" i="6"/>
  <c r="A98" i="6"/>
  <c r="P97" i="6"/>
  <c r="P96" i="6"/>
  <c r="A96" i="6"/>
  <c r="B94" i="6"/>
  <c r="J93" i="6"/>
  <c r="J91" i="6"/>
  <c r="H91" i="6"/>
  <c r="F91" i="6"/>
  <c r="D91" i="6"/>
  <c r="B91" i="6"/>
  <c r="J89" i="6"/>
  <c r="H89" i="6"/>
  <c r="F89" i="6"/>
  <c r="D89" i="6"/>
  <c r="B88" i="6"/>
  <c r="H87" i="6"/>
  <c r="A87" i="6"/>
  <c r="M85" i="6"/>
  <c r="O84" i="6"/>
  <c r="K84" i="6"/>
  <c r="N84" i="6" s="1"/>
  <c r="I84" i="6"/>
  <c r="G84" i="6"/>
  <c r="D84" i="6"/>
  <c r="J84" i="6" s="1"/>
  <c r="A84" i="6"/>
  <c r="O83" i="6"/>
  <c r="K83" i="6"/>
  <c r="N83" i="6" s="1"/>
  <c r="I83" i="6"/>
  <c r="G83" i="6"/>
  <c r="D83" i="6"/>
  <c r="J83" i="6" s="1"/>
  <c r="A83" i="6"/>
  <c r="O82" i="6"/>
  <c r="K82" i="6"/>
  <c r="N82" i="6" s="1"/>
  <c r="I82" i="6"/>
  <c r="G82" i="6"/>
  <c r="D82" i="6"/>
  <c r="J82" i="6" s="1"/>
  <c r="A82" i="6"/>
  <c r="O81" i="6"/>
  <c r="K81" i="6"/>
  <c r="N81" i="6" s="1"/>
  <c r="I81" i="6"/>
  <c r="G81" i="6"/>
  <c r="D81" i="6"/>
  <c r="J81" i="6" s="1"/>
  <c r="A81" i="6"/>
  <c r="O80" i="6"/>
  <c r="K80" i="6"/>
  <c r="N80" i="6" s="1"/>
  <c r="J80" i="6"/>
  <c r="I80" i="6"/>
  <c r="G80" i="6"/>
  <c r="D80" i="6"/>
  <c r="O79" i="6"/>
  <c r="K79" i="6"/>
  <c r="N79" i="6" s="1"/>
  <c r="I79" i="6"/>
  <c r="G79" i="6"/>
  <c r="D79" i="6"/>
  <c r="J79" i="6" s="1"/>
  <c r="O78" i="6"/>
  <c r="K78" i="6"/>
  <c r="N78" i="6" s="1"/>
  <c r="J78" i="6"/>
  <c r="I78" i="6"/>
  <c r="G78" i="6"/>
  <c r="D78" i="6"/>
  <c r="O77" i="6"/>
  <c r="N77" i="6"/>
  <c r="K77" i="6"/>
  <c r="J77" i="6"/>
  <c r="I77" i="6"/>
  <c r="G77" i="6"/>
  <c r="D77" i="6"/>
  <c r="O76" i="6"/>
  <c r="K76" i="6"/>
  <c r="N76" i="6" s="1"/>
  <c r="I76" i="6"/>
  <c r="G76" i="6"/>
  <c r="D76" i="6"/>
  <c r="J76" i="6" s="1"/>
  <c r="O75" i="6"/>
  <c r="O74" i="6"/>
  <c r="A73" i="6"/>
  <c r="A71" i="6"/>
  <c r="H70" i="6"/>
  <c r="A70" i="6"/>
  <c r="A67" i="6"/>
  <c r="A65" i="6"/>
  <c r="N63" i="6"/>
  <c r="P62" i="6"/>
  <c r="I62" i="6"/>
  <c r="E62" i="6"/>
  <c r="M62" i="6" s="1"/>
  <c r="O62" i="6" s="1"/>
  <c r="D62" i="6"/>
  <c r="L62" i="6" s="1"/>
  <c r="K62" i="6" s="1"/>
  <c r="B62" i="6"/>
  <c r="P61" i="6"/>
  <c r="I61" i="6"/>
  <c r="E61" i="6"/>
  <c r="M61" i="6" s="1"/>
  <c r="O61" i="6" s="1"/>
  <c r="D61" i="6"/>
  <c r="L61" i="6" s="1"/>
  <c r="K61" i="6" s="1"/>
  <c r="B61" i="6"/>
  <c r="A61" i="6"/>
  <c r="P60" i="6"/>
  <c r="I60" i="6"/>
  <c r="E60" i="6"/>
  <c r="M60" i="6" s="1"/>
  <c r="O60" i="6" s="1"/>
  <c r="D60" i="6"/>
  <c r="L60" i="6" s="1"/>
  <c r="K60" i="6" s="1"/>
  <c r="B60" i="6"/>
  <c r="A60" i="6"/>
  <c r="P59" i="6"/>
  <c r="I59" i="6"/>
  <c r="E59" i="6"/>
  <c r="M59" i="6" s="1"/>
  <c r="O59" i="6" s="1"/>
  <c r="D59" i="6"/>
  <c r="L59" i="6" s="1"/>
  <c r="K59" i="6" s="1"/>
  <c r="B59" i="6"/>
  <c r="A59" i="6"/>
  <c r="P58" i="6"/>
  <c r="M58" i="6"/>
  <c r="O58" i="6" s="1"/>
  <c r="L58" i="6"/>
  <c r="K58" i="6" s="1"/>
  <c r="I58" i="6"/>
  <c r="D58" i="6"/>
  <c r="B58" i="6"/>
  <c r="A58" i="6"/>
  <c r="P57" i="6"/>
  <c r="M57" i="6"/>
  <c r="O57" i="6" s="1"/>
  <c r="L57" i="6"/>
  <c r="K57" i="6" s="1"/>
  <c r="I57" i="6"/>
  <c r="D57" i="6"/>
  <c r="B57" i="6"/>
  <c r="A57" i="6"/>
  <c r="P56" i="6"/>
  <c r="M56" i="6"/>
  <c r="O56" i="6" s="1"/>
  <c r="I56" i="6"/>
  <c r="D56" i="6"/>
  <c r="L56" i="6" s="1"/>
  <c r="K56" i="6" s="1"/>
  <c r="B56" i="6"/>
  <c r="A56" i="6"/>
  <c r="P55" i="6"/>
  <c r="O55" i="6"/>
  <c r="M55" i="6"/>
  <c r="I55" i="6"/>
  <c r="D55" i="6"/>
  <c r="L55" i="6" s="1"/>
  <c r="K55" i="6" s="1"/>
  <c r="B55" i="6"/>
  <c r="A55" i="6"/>
  <c r="P54" i="6"/>
  <c r="M54" i="6"/>
  <c r="O54" i="6" s="1"/>
  <c r="I54" i="6"/>
  <c r="D54" i="6"/>
  <c r="L54" i="6" s="1"/>
  <c r="K54" i="6" s="1"/>
  <c r="B54" i="6"/>
  <c r="P53" i="6"/>
  <c r="P52" i="6"/>
  <c r="A52" i="6"/>
  <c r="I51" i="6"/>
  <c r="A50" i="6"/>
  <c r="J48" i="6"/>
  <c r="I48" i="6"/>
  <c r="J47" i="6"/>
  <c r="H47" i="6"/>
  <c r="E47" i="6"/>
  <c r="G43" i="6"/>
  <c r="A43" i="6"/>
  <c r="I41" i="6"/>
  <c r="H40" i="6"/>
  <c r="J40" i="6" s="1"/>
  <c r="J41" i="6" s="1"/>
  <c r="E40" i="6"/>
  <c r="H37" i="6"/>
  <c r="A37" i="6"/>
  <c r="L35" i="6"/>
  <c r="I35" i="6"/>
  <c r="D35" i="6"/>
  <c r="J34" i="6"/>
  <c r="I33" i="6"/>
  <c r="P32" i="6"/>
  <c r="N32" i="6"/>
  <c r="L32" i="6"/>
  <c r="K32" i="6" s="1"/>
  <c r="M32" i="6" s="1"/>
  <c r="I32" i="6"/>
  <c r="E32" i="6"/>
  <c r="D32" i="6"/>
  <c r="B32" i="6"/>
  <c r="A32" i="6"/>
  <c r="P31" i="6"/>
  <c r="N31" i="6"/>
  <c r="I31" i="6"/>
  <c r="M31" i="6" s="1"/>
  <c r="E31" i="6"/>
  <c r="D31" i="6"/>
  <c r="L31" i="6" s="1"/>
  <c r="K31" i="6" s="1"/>
  <c r="B31" i="6"/>
  <c r="A31" i="6"/>
  <c r="P30" i="6"/>
  <c r="N30" i="6"/>
  <c r="I30" i="6"/>
  <c r="D30" i="6"/>
  <c r="B30" i="6"/>
  <c r="A30" i="6"/>
  <c r="P29" i="6"/>
  <c r="P28" i="6"/>
  <c r="A28" i="6"/>
  <c r="A27" i="6"/>
  <c r="A26" i="6"/>
  <c r="A25" i="6"/>
  <c r="H24" i="6"/>
  <c r="A24" i="6"/>
  <c r="N22" i="6"/>
  <c r="J22" i="6"/>
  <c r="D22" i="6"/>
  <c r="A22" i="6"/>
  <c r="H21" i="6"/>
  <c r="A21" i="6"/>
  <c r="H20" i="6"/>
  <c r="A20" i="6"/>
  <c r="A19" i="6"/>
  <c r="A18" i="6"/>
  <c r="L16" i="6"/>
  <c r="C16" i="6"/>
  <c r="A16" i="6"/>
  <c r="K14" i="6"/>
  <c r="K12" i="6"/>
  <c r="M11" i="6"/>
  <c r="K10" i="6"/>
  <c r="K9" i="6"/>
  <c r="K7" i="6"/>
  <c r="K6" i="6"/>
  <c r="C6" i="6"/>
  <c r="K5" i="6"/>
  <c r="J3" i="6"/>
  <c r="Q2" i="6"/>
  <c r="Q1" i="6"/>
  <c r="B120" i="5"/>
  <c r="A118" i="5"/>
  <c r="A115" i="5"/>
  <c r="I112" i="5"/>
  <c r="A112" i="5"/>
  <c r="A111" i="5"/>
  <c r="K109" i="5"/>
  <c r="L108" i="5"/>
  <c r="K108" i="5"/>
  <c r="J108" i="5" s="1"/>
  <c r="H108" i="5"/>
  <c r="E108" i="5"/>
  <c r="P108" i="5" s="1"/>
  <c r="C108" i="5"/>
  <c r="A108" i="5"/>
  <c r="L107" i="5"/>
  <c r="H107" i="5"/>
  <c r="E107" i="5"/>
  <c r="P107" i="5" s="1"/>
  <c r="C107" i="5"/>
  <c r="K107" i="5" s="1"/>
  <c r="J107" i="5" s="1"/>
  <c r="A107" i="5"/>
  <c r="L106" i="5"/>
  <c r="H106" i="5"/>
  <c r="E106" i="5"/>
  <c r="P106" i="5" s="1"/>
  <c r="C106" i="5"/>
  <c r="K106" i="5" s="1"/>
  <c r="J106" i="5" s="1"/>
  <c r="A106" i="5"/>
  <c r="L105" i="5"/>
  <c r="H105" i="5"/>
  <c r="E105" i="5"/>
  <c r="P105" i="5" s="1"/>
  <c r="C105" i="5"/>
  <c r="K105" i="5" s="1"/>
  <c r="J105" i="5" s="1"/>
  <c r="A105" i="5"/>
  <c r="L104" i="5"/>
  <c r="H104" i="5"/>
  <c r="E104" i="5"/>
  <c r="P104" i="5" s="1"/>
  <c r="C104" i="5"/>
  <c r="K104" i="5" s="1"/>
  <c r="J104" i="5" s="1"/>
  <c r="A104" i="5"/>
  <c r="L103" i="5"/>
  <c r="H103" i="5"/>
  <c r="E103" i="5"/>
  <c r="P103" i="5" s="1"/>
  <c r="C103" i="5"/>
  <c r="K103" i="5" s="1"/>
  <c r="J103" i="5" s="1"/>
  <c r="A103" i="5"/>
  <c r="P102" i="5"/>
  <c r="N102" i="5"/>
  <c r="L102" i="5"/>
  <c r="K102" i="5"/>
  <c r="J102" i="5" s="1"/>
  <c r="H102" i="5"/>
  <c r="E102" i="5"/>
  <c r="C102" i="5"/>
  <c r="A102" i="5"/>
  <c r="L101" i="5"/>
  <c r="K101" i="5"/>
  <c r="J101" i="5"/>
  <c r="H101" i="5"/>
  <c r="E101" i="5"/>
  <c r="P101" i="5" s="1"/>
  <c r="C101" i="5"/>
  <c r="A101" i="5"/>
  <c r="L100" i="5"/>
  <c r="K100" i="5"/>
  <c r="J100" i="5" s="1"/>
  <c r="H100" i="5"/>
  <c r="E100" i="5"/>
  <c r="P100" i="5" s="1"/>
  <c r="C100" i="5"/>
  <c r="A100" i="5"/>
  <c r="P99" i="5"/>
  <c r="L99" i="5"/>
  <c r="K99" i="5"/>
  <c r="J99" i="5"/>
  <c r="H99" i="5"/>
  <c r="C99" i="5"/>
  <c r="A99" i="5"/>
  <c r="P98" i="5"/>
  <c r="P97" i="5"/>
  <c r="A97" i="5"/>
  <c r="B95" i="5"/>
  <c r="J94" i="5"/>
  <c r="J92" i="5"/>
  <c r="H92" i="5"/>
  <c r="F92" i="5"/>
  <c r="D92" i="5"/>
  <c r="B92" i="5"/>
  <c r="J90" i="5"/>
  <c r="H90" i="5"/>
  <c r="F90" i="5"/>
  <c r="D90" i="5"/>
  <c r="B89" i="5"/>
  <c r="H88" i="5"/>
  <c r="A88" i="5"/>
  <c r="M86" i="5"/>
  <c r="O85" i="5"/>
  <c r="K85" i="5"/>
  <c r="N85" i="5" s="1"/>
  <c r="J85" i="5"/>
  <c r="I85" i="5"/>
  <c r="G85" i="5"/>
  <c r="D85" i="5"/>
  <c r="A85" i="5"/>
  <c r="O84" i="5"/>
  <c r="K84" i="5"/>
  <c r="N84" i="5" s="1"/>
  <c r="I84" i="5"/>
  <c r="G84" i="5"/>
  <c r="D84" i="5"/>
  <c r="J84" i="5" s="1"/>
  <c r="A84" i="5"/>
  <c r="O83" i="5"/>
  <c r="K83" i="5"/>
  <c r="N83" i="5" s="1"/>
  <c r="I83" i="5"/>
  <c r="G83" i="5"/>
  <c r="D83" i="5"/>
  <c r="J83" i="5" s="1"/>
  <c r="A83" i="5"/>
  <c r="O82" i="5"/>
  <c r="K82" i="5"/>
  <c r="N82" i="5" s="1"/>
  <c r="I82" i="5"/>
  <c r="G82" i="5"/>
  <c r="D82" i="5"/>
  <c r="J82" i="5" s="1"/>
  <c r="A82" i="5"/>
  <c r="O81" i="5"/>
  <c r="K81" i="5"/>
  <c r="N81" i="5" s="1"/>
  <c r="I81" i="5"/>
  <c r="G81" i="5"/>
  <c r="D81" i="5"/>
  <c r="J81" i="5" s="1"/>
  <c r="O80" i="5"/>
  <c r="N80" i="5"/>
  <c r="K80" i="5"/>
  <c r="I80" i="5"/>
  <c r="G80" i="5"/>
  <c r="D80" i="5"/>
  <c r="J80" i="5" s="1"/>
  <c r="O79" i="5"/>
  <c r="K79" i="5"/>
  <c r="N79" i="5" s="1"/>
  <c r="I79" i="5"/>
  <c r="G79" i="5"/>
  <c r="D79" i="5"/>
  <c r="J79" i="5" s="1"/>
  <c r="O78" i="5"/>
  <c r="K78" i="5"/>
  <c r="N78" i="5" s="1"/>
  <c r="I78" i="5"/>
  <c r="G78" i="5"/>
  <c r="D78" i="5"/>
  <c r="J78" i="5" s="1"/>
  <c r="O77" i="5"/>
  <c r="K77" i="5"/>
  <c r="N77" i="5" s="1"/>
  <c r="J77" i="5"/>
  <c r="I77" i="5"/>
  <c r="G77" i="5"/>
  <c r="D77" i="5"/>
  <c r="O76" i="5"/>
  <c r="O75" i="5"/>
  <c r="A74" i="5"/>
  <c r="A72" i="5"/>
  <c r="H71" i="5"/>
  <c r="A71" i="5"/>
  <c r="A65" i="5"/>
  <c r="A63" i="5"/>
  <c r="N61" i="5"/>
  <c r="P60" i="5"/>
  <c r="M60" i="5"/>
  <c r="O60" i="5" s="1"/>
  <c r="I60" i="5"/>
  <c r="E60" i="5"/>
  <c r="D60" i="5"/>
  <c r="L60" i="5" s="1"/>
  <c r="K60" i="5" s="1"/>
  <c r="B60" i="5"/>
  <c r="P59" i="5"/>
  <c r="O59" i="5"/>
  <c r="M59" i="5"/>
  <c r="L59" i="5"/>
  <c r="K59" i="5" s="1"/>
  <c r="I59" i="5"/>
  <c r="E59" i="5"/>
  <c r="D59" i="5"/>
  <c r="B59" i="5"/>
  <c r="A59" i="5"/>
  <c r="P58" i="5"/>
  <c r="M58" i="5"/>
  <c r="O58" i="5" s="1"/>
  <c r="I58" i="5"/>
  <c r="E58" i="5"/>
  <c r="D58" i="5"/>
  <c r="L58" i="5" s="1"/>
  <c r="K58" i="5" s="1"/>
  <c r="B58" i="5"/>
  <c r="A58" i="5"/>
  <c r="P57" i="5"/>
  <c r="M57" i="5"/>
  <c r="O57" i="5" s="1"/>
  <c r="L57" i="5"/>
  <c r="K57" i="5" s="1"/>
  <c r="I57" i="5"/>
  <c r="E57" i="5"/>
  <c r="D57" i="5"/>
  <c r="B57" i="5"/>
  <c r="A57" i="5"/>
  <c r="P56" i="5"/>
  <c r="M56" i="5"/>
  <c r="O56" i="5" s="1"/>
  <c r="I56" i="5"/>
  <c r="D56" i="5"/>
  <c r="L56" i="5" s="1"/>
  <c r="K56" i="5" s="1"/>
  <c r="B56" i="5"/>
  <c r="A56" i="5"/>
  <c r="P55" i="5"/>
  <c r="O55" i="5"/>
  <c r="M55" i="5"/>
  <c r="I55" i="5"/>
  <c r="D55" i="5"/>
  <c r="L55" i="5" s="1"/>
  <c r="K55" i="5" s="1"/>
  <c r="B55" i="5"/>
  <c r="A55" i="5"/>
  <c r="P54" i="5"/>
  <c r="O54" i="5"/>
  <c r="M54" i="5"/>
  <c r="I54" i="5"/>
  <c r="D54" i="5"/>
  <c r="L54" i="5" s="1"/>
  <c r="K54" i="5" s="1"/>
  <c r="B54" i="5"/>
  <c r="A54" i="5"/>
  <c r="P53" i="5"/>
  <c r="M53" i="5"/>
  <c r="O53" i="5" s="1"/>
  <c r="I53" i="5"/>
  <c r="D53" i="5"/>
  <c r="L53" i="5" s="1"/>
  <c r="K53" i="5" s="1"/>
  <c r="B53" i="5"/>
  <c r="A53" i="5"/>
  <c r="P52" i="5"/>
  <c r="M52" i="5"/>
  <c r="O52" i="5" s="1"/>
  <c r="I52" i="5"/>
  <c r="D52" i="5"/>
  <c r="L52" i="5" s="1"/>
  <c r="K52" i="5" s="1"/>
  <c r="B52" i="5"/>
  <c r="P51" i="5"/>
  <c r="P50" i="5"/>
  <c r="A50" i="5"/>
  <c r="I49" i="5"/>
  <c r="A48" i="5"/>
  <c r="J46" i="5"/>
  <c r="I46" i="5"/>
  <c r="J45" i="5"/>
  <c r="H45" i="5"/>
  <c r="E45" i="5"/>
  <c r="G41" i="5"/>
  <c r="A41" i="5"/>
  <c r="I39" i="5"/>
  <c r="H38" i="5"/>
  <c r="E38" i="5"/>
  <c r="J38" i="5" s="1"/>
  <c r="J39" i="5" s="1"/>
  <c r="H35" i="5"/>
  <c r="A35" i="5"/>
  <c r="J33" i="5"/>
  <c r="I32" i="5"/>
  <c r="N31" i="5"/>
  <c r="L31" i="5"/>
  <c r="K31" i="5" s="1"/>
  <c r="I31" i="5"/>
  <c r="E31" i="5"/>
  <c r="D31" i="5"/>
  <c r="B31" i="5"/>
  <c r="A31" i="5"/>
  <c r="N30" i="5"/>
  <c r="I30" i="5"/>
  <c r="E30" i="5"/>
  <c r="D30" i="5"/>
  <c r="L32" i="5" s="1"/>
  <c r="K32" i="5" s="1"/>
  <c r="B30" i="5"/>
  <c r="A30" i="5"/>
  <c r="N29" i="5"/>
  <c r="I29" i="5"/>
  <c r="D29" i="5"/>
  <c r="L29" i="5" s="1"/>
  <c r="K29" i="5" s="1"/>
  <c r="M29" i="5" s="1"/>
  <c r="B29" i="5"/>
  <c r="A29" i="5"/>
  <c r="N28" i="5"/>
  <c r="N27" i="5"/>
  <c r="A27" i="5"/>
  <c r="A26" i="5"/>
  <c r="H25" i="5"/>
  <c r="A25" i="5"/>
  <c r="A24" i="5"/>
  <c r="N22" i="5"/>
  <c r="J22" i="5"/>
  <c r="D22" i="5"/>
  <c r="A22" i="5"/>
  <c r="H21" i="5"/>
  <c r="A21" i="5"/>
  <c r="H20" i="5"/>
  <c r="A20" i="5"/>
  <c r="A19" i="5"/>
  <c r="A18" i="5"/>
  <c r="L16" i="5"/>
  <c r="C16" i="5"/>
  <c r="A16" i="5"/>
  <c r="K14" i="5"/>
  <c r="K12" i="5"/>
  <c r="M11" i="5"/>
  <c r="K10" i="5"/>
  <c r="K9" i="5"/>
  <c r="K7" i="5"/>
  <c r="K6" i="5"/>
  <c r="C6" i="5"/>
  <c r="K5" i="5"/>
  <c r="J3" i="5"/>
  <c r="Q2" i="5"/>
  <c r="Q1" i="5"/>
  <c r="B113" i="4"/>
  <c r="A111" i="4"/>
  <c r="A108" i="4"/>
  <c r="I105" i="4"/>
  <c r="A105" i="4"/>
  <c r="A104" i="4"/>
  <c r="K102" i="4"/>
  <c r="L101" i="4"/>
  <c r="H101" i="4"/>
  <c r="E101" i="4"/>
  <c r="C101" i="4"/>
  <c r="K101" i="4" s="1"/>
  <c r="J101" i="4" s="1"/>
  <c r="A101" i="4"/>
  <c r="L100" i="4"/>
  <c r="J100" i="4"/>
  <c r="H100" i="4"/>
  <c r="E100" i="4"/>
  <c r="C100" i="4"/>
  <c r="K100" i="4" s="1"/>
  <c r="A100" i="4"/>
  <c r="L99" i="4"/>
  <c r="H99" i="4"/>
  <c r="E99" i="4"/>
  <c r="C99" i="4"/>
  <c r="K99" i="4" s="1"/>
  <c r="J99" i="4" s="1"/>
  <c r="A99" i="4"/>
  <c r="L98" i="4"/>
  <c r="H98" i="4"/>
  <c r="E98" i="4"/>
  <c r="C98" i="4"/>
  <c r="K98" i="4" s="1"/>
  <c r="J98" i="4" s="1"/>
  <c r="A98" i="4"/>
  <c r="L97" i="4"/>
  <c r="H97" i="4"/>
  <c r="E97" i="4"/>
  <c r="C97" i="4"/>
  <c r="K97" i="4" s="1"/>
  <c r="J97" i="4" s="1"/>
  <c r="A97" i="4"/>
  <c r="L96" i="4"/>
  <c r="H96" i="4"/>
  <c r="E96" i="4"/>
  <c r="C96" i="4"/>
  <c r="K96" i="4" s="1"/>
  <c r="J96" i="4" s="1"/>
  <c r="A96" i="4"/>
  <c r="L95" i="4"/>
  <c r="H95" i="4"/>
  <c r="E95" i="4"/>
  <c r="C95" i="4"/>
  <c r="K95" i="4" s="1"/>
  <c r="J95" i="4" s="1"/>
  <c r="A95" i="4"/>
  <c r="L94" i="4"/>
  <c r="H94" i="4"/>
  <c r="E94" i="4"/>
  <c r="C94" i="4"/>
  <c r="K94" i="4" s="1"/>
  <c r="J94" i="4" s="1"/>
  <c r="A94" i="4"/>
  <c r="L93" i="4"/>
  <c r="H93" i="4"/>
  <c r="E93" i="4"/>
  <c r="C93" i="4"/>
  <c r="K93" i="4" s="1"/>
  <c r="J93" i="4" s="1"/>
  <c r="A93" i="4"/>
  <c r="L92" i="4"/>
  <c r="K92" i="4"/>
  <c r="J92" i="4" s="1"/>
  <c r="H92" i="4"/>
  <c r="C92" i="4"/>
  <c r="A92" i="4"/>
  <c r="A90" i="4"/>
  <c r="B88" i="4"/>
  <c r="J87" i="4"/>
  <c r="J85" i="4"/>
  <c r="H85" i="4"/>
  <c r="F85" i="4"/>
  <c r="D85" i="4"/>
  <c r="B85" i="4"/>
  <c r="J83" i="4"/>
  <c r="H83" i="4"/>
  <c r="F83" i="4"/>
  <c r="D83" i="4"/>
  <c r="B82" i="4"/>
  <c r="H81" i="4"/>
  <c r="A81" i="4"/>
  <c r="M79" i="4"/>
  <c r="L78" i="4"/>
  <c r="N78" i="4" s="1"/>
  <c r="K78" i="4"/>
  <c r="I78" i="4"/>
  <c r="D78" i="4"/>
  <c r="A78" i="4"/>
  <c r="G78" i="4" s="1"/>
  <c r="L77" i="4"/>
  <c r="N77" i="4" s="1"/>
  <c r="I77" i="4"/>
  <c r="D77" i="4"/>
  <c r="K77" i="4" s="1"/>
  <c r="A77" i="4"/>
  <c r="G77" i="4" s="1"/>
  <c r="L76" i="4"/>
  <c r="N76" i="4" s="1"/>
  <c r="K76" i="4"/>
  <c r="I76" i="4"/>
  <c r="D76" i="4"/>
  <c r="A76" i="4"/>
  <c r="G76" i="4" s="1"/>
  <c r="L75" i="4"/>
  <c r="N75" i="4" s="1"/>
  <c r="I75" i="4"/>
  <c r="G75" i="4"/>
  <c r="D75" i="4"/>
  <c r="K75" i="4" s="1"/>
  <c r="A75" i="4"/>
  <c r="L74" i="4"/>
  <c r="N74" i="4" s="1"/>
  <c r="I74" i="4"/>
  <c r="G74" i="4"/>
  <c r="D74" i="4"/>
  <c r="K74" i="4" s="1"/>
  <c r="L73" i="4"/>
  <c r="N73" i="4" s="1"/>
  <c r="I73" i="4"/>
  <c r="G73" i="4"/>
  <c r="D73" i="4"/>
  <c r="K73" i="4" s="1"/>
  <c r="N72" i="4"/>
  <c r="L72" i="4"/>
  <c r="I72" i="4"/>
  <c r="G72" i="4"/>
  <c r="D72" i="4"/>
  <c r="K72" i="4" s="1"/>
  <c r="L71" i="4"/>
  <c r="N71" i="4" s="1"/>
  <c r="I71" i="4"/>
  <c r="G71" i="4"/>
  <c r="D71" i="4"/>
  <c r="K71" i="4" s="1"/>
  <c r="L70" i="4"/>
  <c r="N70" i="4" s="1"/>
  <c r="K70" i="4"/>
  <c r="I70" i="4"/>
  <c r="G70" i="4"/>
  <c r="D70" i="4"/>
  <c r="A67" i="4"/>
  <c r="A65" i="4"/>
  <c r="H64" i="4"/>
  <c r="A64" i="4"/>
  <c r="A58" i="4"/>
  <c r="A56" i="4"/>
  <c r="O54" i="4"/>
  <c r="I53" i="4"/>
  <c r="E53" i="4"/>
  <c r="M53" i="4" s="1"/>
  <c r="P53" i="4" s="1"/>
  <c r="D53" i="4"/>
  <c r="L53" i="4" s="1"/>
  <c r="K53" i="4" s="1"/>
  <c r="B53" i="4"/>
  <c r="I52" i="4"/>
  <c r="E52" i="4"/>
  <c r="M52" i="4" s="1"/>
  <c r="P52" i="4" s="1"/>
  <c r="D52" i="4"/>
  <c r="L52" i="4" s="1"/>
  <c r="K52" i="4" s="1"/>
  <c r="B52" i="4"/>
  <c r="A52" i="4"/>
  <c r="I51" i="4"/>
  <c r="E51" i="4"/>
  <c r="M51" i="4" s="1"/>
  <c r="P51" i="4" s="1"/>
  <c r="D51" i="4"/>
  <c r="L51" i="4" s="1"/>
  <c r="K51" i="4" s="1"/>
  <c r="B51" i="4"/>
  <c r="A51" i="4"/>
  <c r="I50" i="4"/>
  <c r="E50" i="4"/>
  <c r="M50" i="4" s="1"/>
  <c r="P50" i="4" s="1"/>
  <c r="D50" i="4"/>
  <c r="L50" i="4" s="1"/>
  <c r="K50" i="4" s="1"/>
  <c r="B50" i="4"/>
  <c r="A50" i="4"/>
  <c r="P49" i="4"/>
  <c r="M49" i="4"/>
  <c r="L49" i="4"/>
  <c r="K49" i="4" s="1"/>
  <c r="I49" i="4"/>
  <c r="D49" i="4"/>
  <c r="B49" i="4"/>
  <c r="A49" i="4"/>
  <c r="M48" i="4"/>
  <c r="P48" i="4" s="1"/>
  <c r="L48" i="4"/>
  <c r="K48" i="4" s="1"/>
  <c r="I48" i="4"/>
  <c r="D48" i="4"/>
  <c r="B48" i="4"/>
  <c r="A48" i="4"/>
  <c r="M47" i="4"/>
  <c r="P47" i="4" s="1"/>
  <c r="L47" i="4"/>
  <c r="K47" i="4" s="1"/>
  <c r="I47" i="4"/>
  <c r="D47" i="4"/>
  <c r="B47" i="4"/>
  <c r="A47" i="4"/>
  <c r="M46" i="4"/>
  <c r="P46" i="4" s="1"/>
  <c r="L46" i="4"/>
  <c r="K46" i="4" s="1"/>
  <c r="I46" i="4"/>
  <c r="D46" i="4"/>
  <c r="B46" i="4"/>
  <c r="A46" i="4"/>
  <c r="M45" i="4"/>
  <c r="I45" i="4"/>
  <c r="D45" i="4"/>
  <c r="L45" i="4" s="1"/>
  <c r="K45" i="4" s="1"/>
  <c r="B45" i="4"/>
  <c r="A43" i="4"/>
  <c r="I42" i="4"/>
  <c r="A41" i="4"/>
  <c r="I39" i="4"/>
  <c r="J38" i="4"/>
  <c r="J39" i="4" s="1"/>
  <c r="H38" i="4"/>
  <c r="E38" i="4"/>
  <c r="G34" i="4"/>
  <c r="A34" i="4"/>
  <c r="I32" i="4"/>
  <c r="H31" i="4"/>
  <c r="E31" i="4"/>
  <c r="H28" i="4"/>
  <c r="A28" i="4"/>
  <c r="J26" i="4"/>
  <c r="I25" i="4"/>
  <c r="K24" i="4"/>
  <c r="I24" i="4"/>
  <c r="E24" i="4"/>
  <c r="D24" i="4"/>
  <c r="L24" i="4" s="1"/>
  <c r="B24" i="4"/>
  <c r="A24" i="4"/>
  <c r="I23" i="4"/>
  <c r="E23" i="4"/>
  <c r="D23" i="4"/>
  <c r="L23" i="4" s="1"/>
  <c r="K23" i="4" s="1"/>
  <c r="B23" i="4"/>
  <c r="A23" i="4"/>
  <c r="I22" i="4"/>
  <c r="D22" i="4"/>
  <c r="L22" i="4" s="1"/>
  <c r="K22" i="4" s="1"/>
  <c r="B22" i="4"/>
  <c r="A22" i="4"/>
  <c r="A20" i="4"/>
  <c r="A19" i="4"/>
  <c r="H18" i="4"/>
  <c r="A18" i="4"/>
  <c r="L16" i="4"/>
  <c r="C16" i="4"/>
  <c r="A16" i="4"/>
  <c r="K14" i="4"/>
  <c r="K12" i="4"/>
  <c r="M11" i="4"/>
  <c r="K10" i="4"/>
  <c r="K9" i="4"/>
  <c r="K7" i="4"/>
  <c r="K6" i="4"/>
  <c r="C6" i="4"/>
  <c r="K5" i="4"/>
  <c r="J3" i="4"/>
  <c r="Q1" i="4"/>
  <c r="B161" i="3"/>
  <c r="A159" i="3"/>
  <c r="A156" i="3"/>
  <c r="I153" i="3"/>
  <c r="A153" i="3"/>
  <c r="A152" i="3"/>
  <c r="I147" i="3"/>
  <c r="H146" i="3"/>
  <c r="D146" i="3"/>
  <c r="B146" i="3"/>
  <c r="K146" i="3" s="1"/>
  <c r="J146" i="3" s="1"/>
  <c r="J145" i="3"/>
  <c r="H145" i="3"/>
  <c r="L145" i="3" s="1"/>
  <c r="D145" i="3"/>
  <c r="B145" i="3"/>
  <c r="K145" i="3" s="1"/>
  <c r="H144" i="3"/>
  <c r="L144" i="3" s="1"/>
  <c r="D144" i="3"/>
  <c r="B144" i="3"/>
  <c r="K144" i="3" s="1"/>
  <c r="J144" i="3" s="1"/>
  <c r="B141" i="3"/>
  <c r="I136" i="3"/>
  <c r="H135" i="3"/>
  <c r="D135" i="3"/>
  <c r="B135" i="3"/>
  <c r="K135" i="3" s="1"/>
  <c r="J135" i="3" s="1"/>
  <c r="L135" i="3" s="1"/>
  <c r="H134" i="3"/>
  <c r="D134" i="3"/>
  <c r="B134" i="3"/>
  <c r="K134" i="3" s="1"/>
  <c r="J134" i="3" s="1"/>
  <c r="L134" i="3" s="1"/>
  <c r="K133" i="3"/>
  <c r="J133" i="3"/>
  <c r="H133" i="3"/>
  <c r="B133" i="3"/>
  <c r="B130" i="3"/>
  <c r="I125" i="3"/>
  <c r="D125" i="3"/>
  <c r="E121" i="3"/>
  <c r="A121" i="3"/>
  <c r="N120" i="3"/>
  <c r="K120" i="3"/>
  <c r="A120" i="3"/>
  <c r="K117" i="3"/>
  <c r="L116" i="3"/>
  <c r="H116" i="3"/>
  <c r="E116" i="3"/>
  <c r="A116" i="3"/>
  <c r="L115" i="3"/>
  <c r="H115" i="3"/>
  <c r="E115" i="3"/>
  <c r="C115" i="3"/>
  <c r="K115" i="3" s="1"/>
  <c r="A115" i="3"/>
  <c r="L114" i="3"/>
  <c r="H114" i="3"/>
  <c r="E114" i="3"/>
  <c r="J114" i="3" s="1"/>
  <c r="A114" i="3"/>
  <c r="L113" i="3"/>
  <c r="H113" i="3"/>
  <c r="E113" i="3"/>
  <c r="J113" i="3" s="1"/>
  <c r="A113" i="3"/>
  <c r="L112" i="3"/>
  <c r="H112" i="3"/>
  <c r="E112" i="3"/>
  <c r="C112" i="3" s="1"/>
  <c r="K112" i="3" s="1"/>
  <c r="A112" i="3"/>
  <c r="L111" i="3"/>
  <c r="J111" i="3"/>
  <c r="H111" i="3"/>
  <c r="E111" i="3"/>
  <c r="C111" i="3"/>
  <c r="K111" i="3" s="1"/>
  <c r="A111" i="3"/>
  <c r="L110" i="3"/>
  <c r="H110" i="3"/>
  <c r="E110" i="3"/>
  <c r="C110" i="3" s="1"/>
  <c r="K110" i="3" s="1"/>
  <c r="A110" i="3"/>
  <c r="L109" i="3"/>
  <c r="J109" i="3"/>
  <c r="H109" i="3"/>
  <c r="E109" i="3"/>
  <c r="C109" i="3"/>
  <c r="K109" i="3" s="1"/>
  <c r="A109" i="3"/>
  <c r="L108" i="3"/>
  <c r="K108" i="3"/>
  <c r="H108" i="3"/>
  <c r="E108" i="3"/>
  <c r="J108" i="3" s="1"/>
  <c r="C108" i="3"/>
  <c r="A108" i="3"/>
  <c r="L107" i="3"/>
  <c r="J107" i="3"/>
  <c r="H107" i="3"/>
  <c r="E107" i="3"/>
  <c r="C107" i="3"/>
  <c r="K107" i="3" s="1"/>
  <c r="A107" i="3"/>
  <c r="L106" i="3"/>
  <c r="H106" i="3"/>
  <c r="E106" i="3"/>
  <c r="J106" i="3" s="1"/>
  <c r="C106" i="3"/>
  <c r="K106" i="3" s="1"/>
  <c r="A106" i="3"/>
  <c r="L105" i="3"/>
  <c r="N109" i="3" s="1"/>
  <c r="J105" i="3"/>
  <c r="H105" i="3"/>
  <c r="C105" i="3"/>
  <c r="K105" i="3" s="1"/>
  <c r="A105" i="3"/>
  <c r="A103" i="3"/>
  <c r="B101" i="3"/>
  <c r="J100" i="3"/>
  <c r="L97" i="3"/>
  <c r="J97" i="3"/>
  <c r="H97" i="3"/>
  <c r="F97" i="3"/>
  <c r="D97" i="3"/>
  <c r="B97" i="3"/>
  <c r="L95" i="3"/>
  <c r="J95" i="3"/>
  <c r="H95" i="3"/>
  <c r="F95" i="3"/>
  <c r="D95" i="3"/>
  <c r="B94" i="3"/>
  <c r="H93" i="3"/>
  <c r="A93" i="3"/>
  <c r="M89" i="3"/>
  <c r="L88" i="3"/>
  <c r="O88" i="3" s="1"/>
  <c r="K88" i="3"/>
  <c r="I88" i="3"/>
  <c r="D88" i="3"/>
  <c r="A88" i="3"/>
  <c r="G88" i="3" s="1"/>
  <c r="L87" i="3"/>
  <c r="O87" i="3" s="1"/>
  <c r="K87" i="3"/>
  <c r="I87" i="3"/>
  <c r="D87" i="3"/>
  <c r="A87" i="3"/>
  <c r="G87" i="3" s="1"/>
  <c r="L86" i="3"/>
  <c r="O86" i="3" s="1"/>
  <c r="I86" i="3"/>
  <c r="D86" i="3"/>
  <c r="K86" i="3" s="1"/>
  <c r="A86" i="3"/>
  <c r="G86" i="3" s="1"/>
  <c r="L85" i="3"/>
  <c r="O85" i="3" s="1"/>
  <c r="K85" i="3"/>
  <c r="I85" i="3"/>
  <c r="D85" i="3"/>
  <c r="A85" i="3"/>
  <c r="G85" i="3" s="1"/>
  <c r="L84" i="3"/>
  <c r="O84" i="3" s="1"/>
  <c r="I84" i="3"/>
  <c r="G84" i="3"/>
  <c r="D84" i="3"/>
  <c r="K84" i="3" s="1"/>
  <c r="L83" i="3"/>
  <c r="O83" i="3" s="1"/>
  <c r="I83" i="3"/>
  <c r="G83" i="3"/>
  <c r="D83" i="3"/>
  <c r="K83" i="3" s="1"/>
  <c r="L82" i="3"/>
  <c r="O82" i="3" s="1"/>
  <c r="I82" i="3"/>
  <c r="G82" i="3"/>
  <c r="D82" i="3"/>
  <c r="K82" i="3" s="1"/>
  <c r="L81" i="3"/>
  <c r="O81" i="3" s="1"/>
  <c r="I81" i="3"/>
  <c r="G81" i="3"/>
  <c r="D81" i="3"/>
  <c r="K81" i="3" s="1"/>
  <c r="L80" i="3"/>
  <c r="O80" i="3" s="1"/>
  <c r="I80" i="3"/>
  <c r="G80" i="3"/>
  <c r="D80" i="3"/>
  <c r="K80" i="3" s="1"/>
  <c r="A77" i="3"/>
  <c r="A75" i="3"/>
  <c r="H74" i="3"/>
  <c r="A74" i="3"/>
  <c r="A72" i="3"/>
  <c r="A71" i="3"/>
  <c r="L69" i="3"/>
  <c r="I68" i="3"/>
  <c r="E68" i="3"/>
  <c r="M68" i="3" s="1"/>
  <c r="AB68" i="3" s="1"/>
  <c r="B68" i="3"/>
  <c r="A68" i="3"/>
  <c r="I67" i="3"/>
  <c r="E67" i="3"/>
  <c r="M67" i="3" s="1"/>
  <c r="B67" i="3"/>
  <c r="A67" i="3"/>
  <c r="I66" i="3"/>
  <c r="E66" i="3"/>
  <c r="M66" i="3" s="1"/>
  <c r="B66" i="3"/>
  <c r="A66" i="3"/>
  <c r="I65" i="3"/>
  <c r="E65" i="3"/>
  <c r="D65" i="3" s="1"/>
  <c r="B65" i="3"/>
  <c r="A65" i="3"/>
  <c r="M64" i="3"/>
  <c r="P64" i="3" s="1"/>
  <c r="I64" i="3"/>
  <c r="E64" i="3"/>
  <c r="D64" i="3" s="1"/>
  <c r="B64" i="3"/>
  <c r="A64" i="3"/>
  <c r="L63" i="3"/>
  <c r="I63" i="3"/>
  <c r="E63" i="3"/>
  <c r="D63" i="3" s="1"/>
  <c r="B63" i="3"/>
  <c r="A63" i="3"/>
  <c r="I62" i="3"/>
  <c r="E62" i="3"/>
  <c r="M62" i="3" s="1"/>
  <c r="D62" i="3"/>
  <c r="L62" i="3" s="1"/>
  <c r="B62" i="3"/>
  <c r="A62" i="3"/>
  <c r="AB61" i="3"/>
  <c r="P61" i="3"/>
  <c r="M61" i="3"/>
  <c r="I61" i="3"/>
  <c r="D61" i="3"/>
  <c r="L61" i="3" s="1"/>
  <c r="B61" i="3"/>
  <c r="A61" i="3"/>
  <c r="M60" i="3"/>
  <c r="AB60" i="3" s="1"/>
  <c r="I60" i="3"/>
  <c r="D60" i="3"/>
  <c r="L60" i="3" s="1"/>
  <c r="B60" i="3"/>
  <c r="P59" i="3"/>
  <c r="M59" i="3"/>
  <c r="AB59" i="3" s="1"/>
  <c r="I59" i="3"/>
  <c r="D59" i="3"/>
  <c r="L59" i="3" s="1"/>
  <c r="B59" i="3"/>
  <c r="M58" i="3"/>
  <c r="AB58" i="3" s="1"/>
  <c r="I58" i="3"/>
  <c r="D58" i="3"/>
  <c r="L58" i="3" s="1"/>
  <c r="B58" i="3"/>
  <c r="A58" i="3"/>
  <c r="AB57" i="3"/>
  <c r="M57" i="3"/>
  <c r="P57" i="3" s="1"/>
  <c r="L57" i="3"/>
  <c r="I57" i="3"/>
  <c r="D57" i="3"/>
  <c r="B57" i="3"/>
  <c r="A57" i="3"/>
  <c r="M56" i="3"/>
  <c r="AB56" i="3" s="1"/>
  <c r="L56" i="3"/>
  <c r="K56" i="3"/>
  <c r="I56" i="3"/>
  <c r="D56" i="3"/>
  <c r="B56" i="3"/>
  <c r="A56" i="3"/>
  <c r="P55" i="3"/>
  <c r="M55" i="3"/>
  <c r="AB55" i="3" s="1"/>
  <c r="I55" i="3"/>
  <c r="D55" i="3"/>
  <c r="L55" i="3" s="1"/>
  <c r="K55" i="3" s="1"/>
  <c r="B55" i="3"/>
  <c r="A55" i="3"/>
  <c r="M54" i="3"/>
  <c r="AB54" i="3" s="1"/>
  <c r="I54" i="3"/>
  <c r="D54" i="3"/>
  <c r="L54" i="3" s="1"/>
  <c r="K54" i="3" s="1"/>
  <c r="B54" i="3"/>
  <c r="A52" i="3"/>
  <c r="H51" i="3"/>
  <c r="A51" i="3"/>
  <c r="I47" i="3"/>
  <c r="H46" i="3"/>
  <c r="J46" i="3" s="1"/>
  <c r="J47" i="3" s="1"/>
  <c r="E46" i="3"/>
  <c r="G42" i="3"/>
  <c r="A42" i="3"/>
  <c r="J40" i="3"/>
  <c r="H39" i="3"/>
  <c r="K39" i="3" s="1"/>
  <c r="K40" i="3" s="1"/>
  <c r="E39" i="3"/>
  <c r="H36" i="3"/>
  <c r="A36" i="3"/>
  <c r="L34" i="3"/>
  <c r="I34" i="3"/>
  <c r="D34" i="3"/>
  <c r="J33" i="3"/>
  <c r="I32" i="3"/>
  <c r="I31" i="3"/>
  <c r="E31" i="3"/>
  <c r="N31" i="3" s="1"/>
  <c r="D31" i="3"/>
  <c r="L31" i="3" s="1"/>
  <c r="K31" i="3" s="1"/>
  <c r="M31" i="3" s="1"/>
  <c r="B31" i="3"/>
  <c r="A31" i="3"/>
  <c r="I30" i="3"/>
  <c r="M30" i="3" s="1"/>
  <c r="E30" i="3"/>
  <c r="N30" i="3" s="1"/>
  <c r="D30" i="3"/>
  <c r="L30" i="3" s="1"/>
  <c r="K30" i="3" s="1"/>
  <c r="B30" i="3"/>
  <c r="A30" i="3"/>
  <c r="N29" i="3"/>
  <c r="L29" i="3"/>
  <c r="K29" i="3" s="1"/>
  <c r="I29" i="3"/>
  <c r="D29" i="3"/>
  <c r="B29" i="3"/>
  <c r="A29" i="3"/>
  <c r="I28" i="3"/>
  <c r="L27" i="3"/>
  <c r="K27" i="3" s="1"/>
  <c r="M27" i="3" s="1"/>
  <c r="I27" i="3"/>
  <c r="E27" i="3"/>
  <c r="N27" i="3" s="1"/>
  <c r="D27" i="3"/>
  <c r="B27" i="3"/>
  <c r="A27" i="3"/>
  <c r="L26" i="3"/>
  <c r="K26" i="3" s="1"/>
  <c r="I26" i="3"/>
  <c r="E26" i="3"/>
  <c r="N26" i="3" s="1"/>
  <c r="D26" i="3"/>
  <c r="B26" i="3"/>
  <c r="A26" i="3"/>
  <c r="N25" i="3"/>
  <c r="I25" i="3"/>
  <c r="D25" i="3"/>
  <c r="L28" i="3" s="1"/>
  <c r="K28" i="3" s="1"/>
  <c r="B25" i="3"/>
  <c r="A25" i="3"/>
  <c r="A23" i="3"/>
  <c r="A21" i="3"/>
  <c r="A20" i="3"/>
  <c r="H19" i="3"/>
  <c r="A19" i="3"/>
  <c r="L17" i="3"/>
  <c r="C17" i="3"/>
  <c r="A17" i="3"/>
  <c r="K15" i="3"/>
  <c r="I14" i="3"/>
  <c r="I13" i="3"/>
  <c r="K12" i="3"/>
  <c r="M11" i="3"/>
  <c r="K10" i="3"/>
  <c r="K9" i="3"/>
  <c r="K7" i="3"/>
  <c r="K6" i="3"/>
  <c r="C6" i="3"/>
  <c r="K5" i="3"/>
  <c r="J3" i="3"/>
  <c r="Q1" i="3"/>
  <c r="B134" i="2"/>
  <c r="A132" i="2"/>
  <c r="A129" i="2"/>
  <c r="I126" i="2"/>
  <c r="A126" i="2"/>
  <c r="A125" i="2"/>
  <c r="K122" i="2"/>
  <c r="L121" i="2"/>
  <c r="H121" i="2"/>
  <c r="E121" i="2"/>
  <c r="J121" i="2" s="1"/>
  <c r="A121" i="2"/>
  <c r="L120" i="2"/>
  <c r="H120" i="2"/>
  <c r="E120" i="2"/>
  <c r="J120" i="2" s="1"/>
  <c r="A120" i="2"/>
  <c r="L119" i="2"/>
  <c r="H119" i="2"/>
  <c r="E119" i="2"/>
  <c r="J119" i="2" s="1"/>
  <c r="C119" i="2"/>
  <c r="K119" i="2" s="1"/>
  <c r="A119" i="2"/>
  <c r="L118" i="2"/>
  <c r="H118" i="2"/>
  <c r="E118" i="2"/>
  <c r="J118" i="2" s="1"/>
  <c r="A118" i="2"/>
  <c r="L117" i="2"/>
  <c r="H117" i="2"/>
  <c r="E117" i="2"/>
  <c r="J117" i="2" s="1"/>
  <c r="C117" i="2"/>
  <c r="K117" i="2" s="1"/>
  <c r="A117" i="2"/>
  <c r="L116" i="2"/>
  <c r="J116" i="2"/>
  <c r="H116" i="2"/>
  <c r="E116" i="2"/>
  <c r="C116" i="2" s="1"/>
  <c r="K116" i="2" s="1"/>
  <c r="A116" i="2"/>
  <c r="L115" i="2"/>
  <c r="H115" i="2"/>
  <c r="E115" i="2"/>
  <c r="J115" i="2" s="1"/>
  <c r="C115" i="2"/>
  <c r="K115" i="2" s="1"/>
  <c r="A115" i="2"/>
  <c r="L114" i="2"/>
  <c r="K114" i="2"/>
  <c r="H114" i="2"/>
  <c r="E114" i="2"/>
  <c r="J114" i="2" s="1"/>
  <c r="C114" i="2"/>
  <c r="A114" i="2"/>
  <c r="L113" i="2"/>
  <c r="H113" i="2"/>
  <c r="E113" i="2"/>
  <c r="J113" i="2" s="1"/>
  <c r="C113" i="2"/>
  <c r="K113" i="2" s="1"/>
  <c r="A113" i="2"/>
  <c r="L112" i="2"/>
  <c r="K112" i="2"/>
  <c r="J112" i="2"/>
  <c r="H112" i="2"/>
  <c r="C112" i="2"/>
  <c r="A112" i="2"/>
  <c r="A110" i="2"/>
  <c r="B108" i="2"/>
  <c r="J107" i="2"/>
  <c r="J104" i="2"/>
  <c r="H104" i="2"/>
  <c r="F104" i="2"/>
  <c r="D104" i="2"/>
  <c r="B104" i="2"/>
  <c r="J102" i="2"/>
  <c r="H102" i="2"/>
  <c r="F102" i="2"/>
  <c r="D102" i="2"/>
  <c r="B101" i="2"/>
  <c r="H100" i="2"/>
  <c r="A100" i="2"/>
  <c r="M90" i="2"/>
  <c r="O89" i="2"/>
  <c r="L89" i="2"/>
  <c r="I89" i="2"/>
  <c r="D89" i="2"/>
  <c r="K89" i="2" s="1"/>
  <c r="A89" i="2"/>
  <c r="G89" i="2" s="1"/>
  <c r="L88" i="2"/>
  <c r="O88" i="2" s="1"/>
  <c r="I88" i="2"/>
  <c r="D88" i="2"/>
  <c r="K88" i="2" s="1"/>
  <c r="A88" i="2"/>
  <c r="G88" i="2" s="1"/>
  <c r="L87" i="2"/>
  <c r="O87" i="2" s="1"/>
  <c r="K87" i="2"/>
  <c r="I87" i="2"/>
  <c r="D87" i="2"/>
  <c r="A87" i="2"/>
  <c r="G87" i="2" s="1"/>
  <c r="O86" i="2"/>
  <c r="L86" i="2"/>
  <c r="I86" i="2"/>
  <c r="D86" i="2"/>
  <c r="K86" i="2" s="1"/>
  <c r="A86" i="2"/>
  <c r="G86" i="2" s="1"/>
  <c r="L85" i="2"/>
  <c r="O85" i="2" s="1"/>
  <c r="I85" i="2"/>
  <c r="G85" i="2"/>
  <c r="D85" i="2"/>
  <c r="K85" i="2" s="1"/>
  <c r="L84" i="2"/>
  <c r="O84" i="2" s="1"/>
  <c r="I84" i="2"/>
  <c r="G84" i="2"/>
  <c r="D84" i="2"/>
  <c r="K84" i="2" s="1"/>
  <c r="L83" i="2"/>
  <c r="O83" i="2" s="1"/>
  <c r="K83" i="2"/>
  <c r="I83" i="2"/>
  <c r="G83" i="2"/>
  <c r="D83" i="2"/>
  <c r="O82" i="2"/>
  <c r="L82" i="2"/>
  <c r="I82" i="2"/>
  <c r="G82" i="2"/>
  <c r="D82" i="2"/>
  <c r="K82" i="2" s="1"/>
  <c r="L81" i="2"/>
  <c r="O81" i="2" s="1"/>
  <c r="I81" i="2"/>
  <c r="G81" i="2"/>
  <c r="D81" i="2"/>
  <c r="K81" i="2" s="1"/>
  <c r="A78" i="2"/>
  <c r="A76" i="2"/>
  <c r="H75" i="2"/>
  <c r="A75" i="2"/>
  <c r="A73" i="2"/>
  <c r="A71" i="2"/>
  <c r="L69" i="2"/>
  <c r="I68" i="2"/>
  <c r="E68" i="2"/>
  <c r="M68" i="2" s="1"/>
  <c r="B68" i="2"/>
  <c r="A68" i="2"/>
  <c r="I67" i="2"/>
  <c r="E67" i="2"/>
  <c r="D67" i="2" s="1"/>
  <c r="B67" i="2"/>
  <c r="A67" i="2"/>
  <c r="I66" i="2"/>
  <c r="E66" i="2"/>
  <c r="M66" i="2" s="1"/>
  <c r="AB66" i="2" s="1"/>
  <c r="D66" i="2"/>
  <c r="B66" i="2"/>
  <c r="A66" i="2"/>
  <c r="I65" i="2"/>
  <c r="E65" i="2"/>
  <c r="D65" i="2" s="1"/>
  <c r="B65" i="2"/>
  <c r="A65" i="2"/>
  <c r="M64" i="2"/>
  <c r="P64" i="2" s="1"/>
  <c r="I64" i="2"/>
  <c r="E64" i="2"/>
  <c r="D64" i="2" s="1"/>
  <c r="L64" i="2" s="1"/>
  <c r="K64" i="2" s="1"/>
  <c r="B64" i="2"/>
  <c r="A64" i="2"/>
  <c r="I63" i="2"/>
  <c r="E63" i="2"/>
  <c r="M63" i="2" s="1"/>
  <c r="B63" i="2"/>
  <c r="A63" i="2"/>
  <c r="I62" i="2"/>
  <c r="E62" i="2"/>
  <c r="M62" i="2" s="1"/>
  <c r="B62" i="2"/>
  <c r="A62" i="2"/>
  <c r="M61" i="2"/>
  <c r="AB61" i="2" s="1"/>
  <c r="I61" i="2"/>
  <c r="D61" i="2"/>
  <c r="B61" i="2"/>
  <c r="A61" i="2"/>
  <c r="M60" i="2"/>
  <c r="P60" i="2" s="1"/>
  <c r="I60" i="2"/>
  <c r="D60" i="2"/>
  <c r="L60" i="2" s="1"/>
  <c r="K60" i="2" s="1"/>
  <c r="B60" i="2"/>
  <c r="M59" i="2"/>
  <c r="AB59" i="2" s="1"/>
  <c r="L59" i="2"/>
  <c r="I59" i="2"/>
  <c r="D59" i="2"/>
  <c r="B59" i="2"/>
  <c r="AB58" i="2"/>
  <c r="M58" i="2"/>
  <c r="P58" i="2" s="1"/>
  <c r="I58" i="2"/>
  <c r="D58" i="2"/>
  <c r="L58" i="2" s="1"/>
  <c r="K58" i="2" s="1"/>
  <c r="B58" i="2"/>
  <c r="A58" i="2"/>
  <c r="M57" i="2"/>
  <c r="AB57" i="2" s="1"/>
  <c r="L57" i="2"/>
  <c r="I57" i="2"/>
  <c r="D57" i="2"/>
  <c r="K57" i="2" s="1"/>
  <c r="B57" i="2"/>
  <c r="A57" i="2"/>
  <c r="P56" i="2"/>
  <c r="M56" i="2"/>
  <c r="AB56" i="2" s="1"/>
  <c r="I56" i="2"/>
  <c r="D56" i="2"/>
  <c r="L56" i="2" s="1"/>
  <c r="B56" i="2"/>
  <c r="A56" i="2"/>
  <c r="M55" i="2"/>
  <c r="AB55" i="2" s="1"/>
  <c r="L55" i="2"/>
  <c r="K55" i="2" s="1"/>
  <c r="I55" i="2"/>
  <c r="D55" i="2"/>
  <c r="B55" i="2"/>
  <c r="A55" i="2"/>
  <c r="M54" i="2"/>
  <c r="P54" i="2" s="1"/>
  <c r="I54" i="2"/>
  <c r="D54" i="2"/>
  <c r="L54" i="2" s="1"/>
  <c r="K54" i="2" s="1"/>
  <c r="B54" i="2"/>
  <c r="A52" i="2"/>
  <c r="H51" i="2"/>
  <c r="A51" i="2"/>
  <c r="I47" i="2"/>
  <c r="J46" i="2"/>
  <c r="J47" i="2" s="1"/>
  <c r="H46" i="2"/>
  <c r="E46" i="2"/>
  <c r="G42" i="2"/>
  <c r="A42" i="2"/>
  <c r="J40" i="2"/>
  <c r="H39" i="2"/>
  <c r="E39" i="2"/>
  <c r="K39" i="2" s="1"/>
  <c r="K40" i="2" s="1"/>
  <c r="H36" i="2"/>
  <c r="A36" i="2"/>
  <c r="L34" i="2"/>
  <c r="I34" i="2"/>
  <c r="D34" i="2"/>
  <c r="J33" i="2"/>
  <c r="I32" i="2"/>
  <c r="L31" i="2"/>
  <c r="K31" i="2" s="1"/>
  <c r="I31" i="2"/>
  <c r="M31" i="2" s="1"/>
  <c r="E31" i="2"/>
  <c r="N31" i="2" s="1"/>
  <c r="D31" i="2"/>
  <c r="B31" i="2"/>
  <c r="A31" i="2"/>
  <c r="N30" i="2"/>
  <c r="I30" i="2"/>
  <c r="E30" i="2"/>
  <c r="D30" i="2"/>
  <c r="L30" i="2" s="1"/>
  <c r="K30" i="2" s="1"/>
  <c r="M30" i="2" s="1"/>
  <c r="B30" i="2"/>
  <c r="A30" i="2"/>
  <c r="N29" i="2"/>
  <c r="I29" i="2"/>
  <c r="D29" i="2"/>
  <c r="L32" i="2" s="1"/>
  <c r="K32" i="2" s="1"/>
  <c r="M32" i="2" s="1"/>
  <c r="B29" i="2"/>
  <c r="A29" i="2"/>
  <c r="I28" i="2"/>
  <c r="I27" i="2"/>
  <c r="E27" i="2"/>
  <c r="N27" i="2" s="1"/>
  <c r="D27" i="2"/>
  <c r="B27" i="2"/>
  <c r="A27" i="2"/>
  <c r="I26" i="2"/>
  <c r="E26" i="2"/>
  <c r="N26" i="2" s="1"/>
  <c r="D26" i="2"/>
  <c r="L26" i="2" s="1"/>
  <c r="K26" i="2" s="1"/>
  <c r="B26" i="2"/>
  <c r="A26" i="2"/>
  <c r="N25" i="2"/>
  <c r="L25" i="2"/>
  <c r="K25" i="2"/>
  <c r="I25" i="2"/>
  <c r="D25" i="2"/>
  <c r="B25" i="2"/>
  <c r="A25" i="2"/>
  <c r="A23" i="2"/>
  <c r="A21" i="2"/>
  <c r="A20" i="2"/>
  <c r="H19" i="2"/>
  <c r="A19" i="2"/>
  <c r="L17" i="2"/>
  <c r="C17" i="2"/>
  <c r="A17" i="2"/>
  <c r="K15" i="2"/>
  <c r="I14" i="2"/>
  <c r="I13" i="2"/>
  <c r="K12" i="2"/>
  <c r="M11" i="2"/>
  <c r="K10" i="2"/>
  <c r="K9" i="2"/>
  <c r="K7" i="2"/>
  <c r="K6" i="2"/>
  <c r="C6" i="2"/>
  <c r="K5" i="2"/>
  <c r="J3" i="2"/>
  <c r="Q1" i="2"/>
  <c r="B130" i="1"/>
  <c r="A128" i="1"/>
  <c r="A125" i="1"/>
  <c r="I122" i="1"/>
  <c r="A122" i="1"/>
  <c r="A121" i="1"/>
  <c r="K118" i="1"/>
  <c r="L117" i="1"/>
  <c r="H117" i="1"/>
  <c r="E117" i="1"/>
  <c r="J117" i="1" s="1"/>
  <c r="A117" i="1"/>
  <c r="L116" i="1"/>
  <c r="H116" i="1"/>
  <c r="E116" i="1"/>
  <c r="J116" i="1" s="1"/>
  <c r="A116" i="1"/>
  <c r="L115" i="1"/>
  <c r="H115" i="1"/>
  <c r="E115" i="1"/>
  <c r="C115" i="1" s="1"/>
  <c r="K115" i="1" s="1"/>
  <c r="A115" i="1"/>
  <c r="L114" i="1"/>
  <c r="H114" i="1"/>
  <c r="E114" i="1"/>
  <c r="C114" i="1" s="1"/>
  <c r="K114" i="1" s="1"/>
  <c r="A114" i="1"/>
  <c r="L113" i="1"/>
  <c r="H113" i="1"/>
  <c r="E113" i="1"/>
  <c r="J113" i="1" s="1"/>
  <c r="A113" i="1"/>
  <c r="L112" i="1"/>
  <c r="H112" i="1"/>
  <c r="E112" i="1"/>
  <c r="C112" i="1" s="1"/>
  <c r="K112" i="1" s="1"/>
  <c r="A112" i="1"/>
  <c r="L111" i="1"/>
  <c r="H111" i="1"/>
  <c r="E111" i="1"/>
  <c r="J111" i="1" s="1"/>
  <c r="C111" i="1"/>
  <c r="K111" i="1" s="1"/>
  <c r="A111" i="1"/>
  <c r="L110" i="1"/>
  <c r="H110" i="1"/>
  <c r="E110" i="1"/>
  <c r="J110" i="1" s="1"/>
  <c r="C110" i="1"/>
  <c r="K110" i="1" s="1"/>
  <c r="A110" i="1"/>
  <c r="L109" i="1"/>
  <c r="H109" i="1"/>
  <c r="E109" i="1"/>
  <c r="J109" i="1" s="1"/>
  <c r="C109" i="1"/>
  <c r="K109" i="1" s="1"/>
  <c r="A109" i="1"/>
  <c r="L108" i="1"/>
  <c r="J108" i="1"/>
  <c r="H108" i="1"/>
  <c r="C108" i="1"/>
  <c r="K108" i="1" s="1"/>
  <c r="A108" i="1"/>
  <c r="A106" i="1"/>
  <c r="B104" i="1"/>
  <c r="J103" i="1"/>
  <c r="J100" i="1"/>
  <c r="H100" i="1"/>
  <c r="F100" i="1"/>
  <c r="D100" i="1"/>
  <c r="B100" i="1"/>
  <c r="J98" i="1"/>
  <c r="H98" i="1"/>
  <c r="F98" i="1"/>
  <c r="D98" i="1"/>
  <c r="B97" i="1"/>
  <c r="H96" i="1"/>
  <c r="A96" i="1"/>
  <c r="M86" i="1"/>
  <c r="L85" i="1"/>
  <c r="O85" i="1" s="1"/>
  <c r="I85" i="1"/>
  <c r="D85" i="1"/>
  <c r="K85" i="1" s="1"/>
  <c r="A85" i="1"/>
  <c r="G85" i="1" s="1"/>
  <c r="L84" i="1"/>
  <c r="O84" i="1" s="1"/>
  <c r="I84" i="1"/>
  <c r="D84" i="1"/>
  <c r="K84" i="1" s="1"/>
  <c r="A84" i="1"/>
  <c r="G84" i="1" s="1"/>
  <c r="L83" i="1"/>
  <c r="O83" i="1" s="1"/>
  <c r="I83" i="1"/>
  <c r="D83" i="1"/>
  <c r="K83" i="1" s="1"/>
  <c r="A83" i="1"/>
  <c r="G83" i="1" s="1"/>
  <c r="L82" i="1"/>
  <c r="O82" i="1" s="1"/>
  <c r="I82" i="1"/>
  <c r="D82" i="1"/>
  <c r="K82" i="1" s="1"/>
  <c r="A82" i="1"/>
  <c r="G82" i="1" s="1"/>
  <c r="L81" i="1"/>
  <c r="O81" i="1" s="1"/>
  <c r="I81" i="1"/>
  <c r="G81" i="1"/>
  <c r="D81" i="1"/>
  <c r="K81" i="1" s="1"/>
  <c r="L80" i="1"/>
  <c r="O80" i="1" s="1"/>
  <c r="I80" i="1"/>
  <c r="G80" i="1"/>
  <c r="D80" i="1"/>
  <c r="K80" i="1" s="1"/>
  <c r="L79" i="1"/>
  <c r="O79" i="1" s="1"/>
  <c r="I79" i="1"/>
  <c r="G79" i="1"/>
  <c r="D79" i="1"/>
  <c r="K79" i="1" s="1"/>
  <c r="L78" i="1"/>
  <c r="O78" i="1" s="1"/>
  <c r="I78" i="1"/>
  <c r="G78" i="1"/>
  <c r="D78" i="1"/>
  <c r="K78" i="1" s="1"/>
  <c r="L77" i="1"/>
  <c r="O77" i="1" s="1"/>
  <c r="I77" i="1"/>
  <c r="G77" i="1"/>
  <c r="D77" i="1"/>
  <c r="K77" i="1" s="1"/>
  <c r="A74" i="1"/>
  <c r="A72" i="1"/>
  <c r="H71" i="1"/>
  <c r="A71" i="1"/>
  <c r="A69" i="1"/>
  <c r="A67" i="1"/>
  <c r="L65" i="1"/>
  <c r="I64" i="1"/>
  <c r="E64" i="1"/>
  <c r="M64" i="1" s="1"/>
  <c r="P64" i="1" s="1"/>
  <c r="D64" i="1"/>
  <c r="L64" i="1" s="1"/>
  <c r="K64" i="1" s="1"/>
  <c r="B64" i="1"/>
  <c r="A64" i="1"/>
  <c r="I63" i="1"/>
  <c r="E63" i="1"/>
  <c r="M63" i="1" s="1"/>
  <c r="D63" i="1"/>
  <c r="B63" i="1"/>
  <c r="A63" i="1"/>
  <c r="I62" i="1"/>
  <c r="E62" i="1"/>
  <c r="M62" i="1" s="1"/>
  <c r="B62" i="1"/>
  <c r="A62" i="1"/>
  <c r="I61" i="1"/>
  <c r="E61" i="1"/>
  <c r="D61" i="1" s="1"/>
  <c r="B61" i="1"/>
  <c r="A61" i="1"/>
  <c r="I60" i="1"/>
  <c r="E60" i="1"/>
  <c r="M60" i="1" s="1"/>
  <c r="AB60" i="1" s="1"/>
  <c r="D60" i="1"/>
  <c r="L60" i="1" s="1"/>
  <c r="B60" i="1"/>
  <c r="A60" i="1"/>
  <c r="I59" i="1"/>
  <c r="E59" i="1"/>
  <c r="D59" i="1" s="1"/>
  <c r="L59" i="1" s="1"/>
  <c r="B59" i="1"/>
  <c r="A59" i="1"/>
  <c r="I58" i="1"/>
  <c r="E58" i="1"/>
  <c r="M58" i="1" s="1"/>
  <c r="B58" i="1"/>
  <c r="A58" i="1"/>
  <c r="M57" i="1"/>
  <c r="AB57" i="1" s="1"/>
  <c r="I57" i="1"/>
  <c r="D57" i="1"/>
  <c r="L57" i="1" s="1"/>
  <c r="K57" i="1" s="1"/>
  <c r="B57" i="1"/>
  <c r="A57" i="1"/>
  <c r="M56" i="1"/>
  <c r="AB56" i="1" s="1"/>
  <c r="I56" i="1"/>
  <c r="D56" i="1"/>
  <c r="L56" i="1" s="1"/>
  <c r="B56" i="1"/>
  <c r="M55" i="1"/>
  <c r="P55" i="1" s="1"/>
  <c r="I55" i="1"/>
  <c r="D55" i="1"/>
  <c r="L55" i="1" s="1"/>
  <c r="K55" i="1" s="1"/>
  <c r="B55" i="1"/>
  <c r="M54" i="1"/>
  <c r="AB54" i="1" s="1"/>
  <c r="I54" i="1"/>
  <c r="D54" i="1"/>
  <c r="B54" i="1"/>
  <c r="A54" i="1"/>
  <c r="M53" i="1"/>
  <c r="AB53" i="1" s="1"/>
  <c r="L53" i="1"/>
  <c r="I53" i="1"/>
  <c r="D53" i="1"/>
  <c r="B53" i="1"/>
  <c r="A53" i="1"/>
  <c r="M52" i="1"/>
  <c r="AB52" i="1" s="1"/>
  <c r="I52" i="1"/>
  <c r="D52" i="1"/>
  <c r="B52" i="1"/>
  <c r="A52" i="1"/>
  <c r="M51" i="1"/>
  <c r="AB51" i="1" s="1"/>
  <c r="I51" i="1"/>
  <c r="D51" i="1"/>
  <c r="L51" i="1" s="1"/>
  <c r="K51" i="1" s="1"/>
  <c r="B51" i="1"/>
  <c r="A51" i="1"/>
  <c r="M50" i="1"/>
  <c r="AB50" i="1" s="1"/>
  <c r="I50" i="1"/>
  <c r="D50" i="1"/>
  <c r="L50" i="1" s="1"/>
  <c r="K50" i="1" s="1"/>
  <c r="B50" i="1"/>
  <c r="A48" i="1"/>
  <c r="H47" i="1"/>
  <c r="A47" i="1"/>
  <c r="I43" i="1"/>
  <c r="J42" i="1"/>
  <c r="J43" i="1" s="1"/>
  <c r="H42" i="1"/>
  <c r="E42" i="1"/>
  <c r="G38" i="1"/>
  <c r="A38" i="1"/>
  <c r="J36" i="1"/>
  <c r="H35" i="1"/>
  <c r="E35" i="1"/>
  <c r="H32" i="1"/>
  <c r="A32" i="1"/>
  <c r="J31" i="1"/>
  <c r="I30" i="1"/>
  <c r="I29" i="1"/>
  <c r="E29" i="1"/>
  <c r="D29" i="1"/>
  <c r="L29" i="1" s="1"/>
  <c r="K29" i="1" s="1"/>
  <c r="M29" i="1" s="1"/>
  <c r="B29" i="1"/>
  <c r="A29" i="1"/>
  <c r="I28" i="1"/>
  <c r="E28" i="1"/>
  <c r="D28" i="1"/>
  <c r="L28" i="1" s="1"/>
  <c r="K28" i="1" s="1"/>
  <c r="M28" i="1" s="1"/>
  <c r="B28" i="1"/>
  <c r="A28" i="1"/>
  <c r="I27" i="1"/>
  <c r="D27" i="1"/>
  <c r="L27" i="1" s="1"/>
  <c r="K27" i="1" s="1"/>
  <c r="B27" i="1"/>
  <c r="A27" i="1"/>
  <c r="I26" i="1"/>
  <c r="I25" i="1"/>
  <c r="E25" i="1"/>
  <c r="D25" i="1"/>
  <c r="L25" i="1" s="1"/>
  <c r="K25" i="1" s="1"/>
  <c r="B25" i="1"/>
  <c r="A25" i="1"/>
  <c r="I24" i="1"/>
  <c r="E24" i="1"/>
  <c r="D24" i="1"/>
  <c r="L24" i="1" s="1"/>
  <c r="K24" i="1" s="1"/>
  <c r="B24" i="1"/>
  <c r="A24" i="1"/>
  <c r="I23" i="1"/>
  <c r="D23" i="1"/>
  <c r="L23" i="1" s="1"/>
  <c r="K23" i="1" s="1"/>
  <c r="B23" i="1"/>
  <c r="A23" i="1"/>
  <c r="A21" i="1"/>
  <c r="A20" i="1"/>
  <c r="H19" i="1"/>
  <c r="A19" i="1"/>
  <c r="L17" i="1"/>
  <c r="C17" i="1"/>
  <c r="A17" i="1"/>
  <c r="K15" i="1"/>
  <c r="I14" i="1"/>
  <c r="I13" i="1"/>
  <c r="K12" i="1"/>
  <c r="M11" i="1"/>
  <c r="K10" i="1"/>
  <c r="K9" i="1"/>
  <c r="K7" i="1"/>
  <c r="K6" i="1"/>
  <c r="C6" i="1"/>
  <c r="K5" i="1"/>
  <c r="J3" i="1"/>
  <c r="Q1" i="1"/>
  <c r="M61" i="7" l="1"/>
  <c r="O61" i="7" s="1"/>
  <c r="D62" i="7"/>
  <c r="L62" i="7" s="1"/>
  <c r="K62" i="7" s="1"/>
  <c r="M60" i="7"/>
  <c r="O60" i="7" s="1"/>
  <c r="M63" i="7"/>
  <c r="O63" i="7" s="1"/>
  <c r="D61" i="7"/>
  <c r="L61" i="7" s="1"/>
  <c r="K61" i="7" s="1"/>
  <c r="I36" i="7"/>
  <c r="N100" i="7"/>
  <c r="L111" i="7" s="1"/>
  <c r="L129" i="7"/>
  <c r="L139" i="7"/>
  <c r="G98" i="11"/>
  <c r="F98" i="11" s="1"/>
  <c r="M69" i="11"/>
  <c r="L29" i="10"/>
  <c r="K29" i="10" s="1"/>
  <c r="M54" i="10"/>
  <c r="O54" i="10" s="1"/>
  <c r="P27" i="10"/>
  <c r="N117" i="9"/>
  <c r="J31" i="8"/>
  <c r="J32" i="8" s="1"/>
  <c r="N102" i="7"/>
  <c r="M33" i="7"/>
  <c r="L128" i="7"/>
  <c r="L137" i="7"/>
  <c r="M32" i="7"/>
  <c r="J41" i="7"/>
  <c r="J42" i="7" s="1"/>
  <c r="F68" i="7"/>
  <c r="N101" i="6"/>
  <c r="F67" i="6"/>
  <c r="L30" i="5"/>
  <c r="K30" i="5" s="1"/>
  <c r="M30" i="5" s="1"/>
  <c r="M33" i="5" s="1"/>
  <c r="N103" i="5"/>
  <c r="M32" i="5"/>
  <c r="N100" i="5"/>
  <c r="N93" i="4"/>
  <c r="L102" i="4" s="1"/>
  <c r="M22" i="4"/>
  <c r="J31" i="4"/>
  <c r="J32" i="4" s="1"/>
  <c r="N95" i="4"/>
  <c r="M24" i="4"/>
  <c r="L64" i="3"/>
  <c r="K64" i="3" s="1"/>
  <c r="K63" i="3"/>
  <c r="J112" i="3"/>
  <c r="L133" i="3"/>
  <c r="J110" i="3"/>
  <c r="D67" i="3"/>
  <c r="L67" i="3" s="1"/>
  <c r="C113" i="3"/>
  <c r="K113" i="3" s="1"/>
  <c r="K61" i="3"/>
  <c r="N110" i="3"/>
  <c r="L32" i="3"/>
  <c r="K32" i="3" s="1"/>
  <c r="M32" i="3" s="1"/>
  <c r="M26" i="3"/>
  <c r="D68" i="3"/>
  <c r="L68" i="3" s="1"/>
  <c r="K68" i="3" s="1"/>
  <c r="C114" i="3"/>
  <c r="K114" i="3" s="1"/>
  <c r="K59" i="3"/>
  <c r="K57" i="3"/>
  <c r="AB60" i="2"/>
  <c r="C118" i="2"/>
  <c r="K118" i="2" s="1"/>
  <c r="K67" i="2"/>
  <c r="C121" i="2"/>
  <c r="K121" i="2" s="1"/>
  <c r="K59" i="2"/>
  <c r="P61" i="2"/>
  <c r="L67" i="2"/>
  <c r="N114" i="2"/>
  <c r="L28" i="2"/>
  <c r="K28" i="2" s="1"/>
  <c r="M28" i="2" s="1"/>
  <c r="AB54" i="2"/>
  <c r="D68" i="2"/>
  <c r="L68" i="2" s="1"/>
  <c r="M65" i="2"/>
  <c r="M26" i="2"/>
  <c r="O90" i="2"/>
  <c r="M25" i="2"/>
  <c r="D63" i="2"/>
  <c r="L63" i="2" s="1"/>
  <c r="L29" i="2"/>
  <c r="K29" i="2" s="1"/>
  <c r="M29" i="2" s="1"/>
  <c r="M27" i="1"/>
  <c r="M59" i="1"/>
  <c r="AB59" i="1" s="1"/>
  <c r="K35" i="1"/>
  <c r="K36" i="1" s="1"/>
  <c r="C113" i="1"/>
  <c r="K113" i="1" s="1"/>
  <c r="L52" i="1"/>
  <c r="K52" i="1" s="1"/>
  <c r="AB55" i="1"/>
  <c r="N111" i="1"/>
  <c r="J112" i="1"/>
  <c r="P51" i="1"/>
  <c r="C116" i="1"/>
  <c r="K116" i="1" s="1"/>
  <c r="K56" i="1"/>
  <c r="L54" i="1"/>
  <c r="K54" i="1" s="1"/>
  <c r="N112" i="1"/>
  <c r="J114" i="1"/>
  <c r="P50" i="1"/>
  <c r="P57" i="1"/>
  <c r="P52" i="1"/>
  <c r="K53" i="1"/>
  <c r="D65" i="11"/>
  <c r="L65" i="11" s="1"/>
  <c r="J86" i="11"/>
  <c r="D68" i="11"/>
  <c r="L68" i="11" s="1"/>
  <c r="L57" i="11"/>
  <c r="K57" i="11" s="1"/>
  <c r="I64" i="11"/>
  <c r="M32" i="11"/>
  <c r="M27" i="11"/>
  <c r="K60" i="11"/>
  <c r="M68" i="11"/>
  <c r="K61" i="11"/>
  <c r="L58" i="11"/>
  <c r="K58" i="11" s="1"/>
  <c r="K90" i="10"/>
  <c r="L26" i="10"/>
  <c r="K26" i="10" s="1"/>
  <c r="M27" i="10"/>
  <c r="M28" i="10"/>
  <c r="M50" i="10"/>
  <c r="O50" i="10" s="1"/>
  <c r="J42" i="10"/>
  <c r="J43" i="10" s="1"/>
  <c r="M55" i="10"/>
  <c r="O55" i="10" s="1"/>
  <c r="M29" i="10"/>
  <c r="N87" i="10"/>
  <c r="M87" i="10" s="1"/>
  <c r="M52" i="10"/>
  <c r="O52" i="10" s="1"/>
  <c r="J35" i="10"/>
  <c r="J36" i="10" s="1"/>
  <c r="L136" i="3"/>
  <c r="N86" i="5"/>
  <c r="P62" i="1"/>
  <c r="AB62" i="1"/>
  <c r="L65" i="2"/>
  <c r="K65" i="2" s="1"/>
  <c r="Q30" i="3"/>
  <c r="M28" i="3"/>
  <c r="N86" i="7"/>
  <c r="P62" i="2"/>
  <c r="AB62" i="2"/>
  <c r="N85" i="6"/>
  <c r="AB63" i="1"/>
  <c r="P63" i="1"/>
  <c r="P68" i="2"/>
  <c r="AB68" i="2"/>
  <c r="AB67" i="3"/>
  <c r="P67" i="3"/>
  <c r="P66" i="3"/>
  <c r="AB66" i="3"/>
  <c r="M25" i="1"/>
  <c r="O61" i="5"/>
  <c r="N79" i="9"/>
  <c r="P54" i="8"/>
  <c r="O86" i="1"/>
  <c r="AB63" i="2"/>
  <c r="P63" i="2"/>
  <c r="M23" i="1"/>
  <c r="M24" i="1"/>
  <c r="O89" i="3"/>
  <c r="Q30" i="2"/>
  <c r="M24" i="8"/>
  <c r="AB58" i="1"/>
  <c r="P58" i="1"/>
  <c r="L61" i="1"/>
  <c r="K61" i="1" s="1"/>
  <c r="AB62" i="3"/>
  <c r="P62" i="3"/>
  <c r="L65" i="3"/>
  <c r="K65" i="3" s="1"/>
  <c r="O63" i="6"/>
  <c r="M31" i="5"/>
  <c r="D58" i="1"/>
  <c r="P59" i="1"/>
  <c r="J115" i="1"/>
  <c r="P55" i="2"/>
  <c r="L25" i="3"/>
  <c r="K25" i="3" s="1"/>
  <c r="M25" i="3" s="1"/>
  <c r="M63" i="3"/>
  <c r="N106" i="3"/>
  <c r="L117" i="3" s="1"/>
  <c r="N108" i="3"/>
  <c r="C116" i="3"/>
  <c r="K116" i="3" s="1"/>
  <c r="J116" i="3" s="1"/>
  <c r="L25" i="4"/>
  <c r="K25" i="4" s="1"/>
  <c r="M25" i="4" s="1"/>
  <c r="L25" i="8"/>
  <c r="K25" i="8" s="1"/>
  <c r="M25" i="8" s="1"/>
  <c r="O86" i="10"/>
  <c r="M63" i="11"/>
  <c r="P63" i="11" s="1"/>
  <c r="P68" i="3"/>
  <c r="N96" i="4"/>
  <c r="M31" i="7"/>
  <c r="N104" i="7"/>
  <c r="L64" i="11"/>
  <c r="K64" i="11" s="1"/>
  <c r="P57" i="2"/>
  <c r="P54" i="1"/>
  <c r="P56" i="1"/>
  <c r="M61" i="1"/>
  <c r="AB64" i="1"/>
  <c r="P59" i="2"/>
  <c r="AB64" i="2"/>
  <c r="L66" i="2"/>
  <c r="K66" i="2" s="1"/>
  <c r="C120" i="2"/>
  <c r="K120" i="2" s="1"/>
  <c r="P54" i="3"/>
  <c r="K58" i="3"/>
  <c r="K60" i="3"/>
  <c r="M65" i="3"/>
  <c r="N79" i="4"/>
  <c r="K87" i="10"/>
  <c r="F87" i="10"/>
  <c r="N100" i="6"/>
  <c r="N26" i="10"/>
  <c r="M26" i="10"/>
  <c r="M30" i="10" s="1"/>
  <c r="M61" i="11"/>
  <c r="L30" i="1"/>
  <c r="K30" i="1" s="1"/>
  <c r="M30" i="1" s="1"/>
  <c r="N94" i="4"/>
  <c r="N109" i="1"/>
  <c r="L118" i="1" s="1"/>
  <c r="L27" i="2"/>
  <c r="K27" i="2" s="1"/>
  <c r="M27" i="2" s="1"/>
  <c r="P66" i="2"/>
  <c r="K68" i="2"/>
  <c r="N115" i="2"/>
  <c r="P56" i="3"/>
  <c r="K62" i="3"/>
  <c r="M23" i="4"/>
  <c r="N102" i="6"/>
  <c r="M52" i="9"/>
  <c r="P52" i="9" s="1"/>
  <c r="P54" i="9" s="1"/>
  <c r="N95" i="9"/>
  <c r="N93" i="9"/>
  <c r="L102" i="9" s="1"/>
  <c r="M56" i="10"/>
  <c r="O56" i="10" s="1"/>
  <c r="L63" i="1"/>
  <c r="K63" i="1" s="1"/>
  <c r="K56" i="2"/>
  <c r="N113" i="2"/>
  <c r="L122" i="2" s="1"/>
  <c r="P58" i="3"/>
  <c r="P60" i="3"/>
  <c r="M23" i="8"/>
  <c r="N121" i="9"/>
  <c r="N122" i="9" s="1"/>
  <c r="M64" i="11"/>
  <c r="M58" i="11"/>
  <c r="M56" i="11"/>
  <c r="P56" i="11" s="1"/>
  <c r="M60" i="11"/>
  <c r="P60" i="11" s="1"/>
  <c r="M62" i="11"/>
  <c r="P62" i="11" s="1"/>
  <c r="M65" i="11"/>
  <c r="P65" i="11" s="1"/>
  <c r="M59" i="11"/>
  <c r="M57" i="11"/>
  <c r="P57" i="11" s="1"/>
  <c r="M55" i="11"/>
  <c r="P55" i="11" s="1"/>
  <c r="M66" i="11"/>
  <c r="L61" i="2"/>
  <c r="K61" i="2" s="1"/>
  <c r="K60" i="1"/>
  <c r="F58" i="8"/>
  <c r="M24" i="9"/>
  <c r="N88" i="10"/>
  <c r="M88" i="10" s="1"/>
  <c r="O88" i="10" s="1"/>
  <c r="K65" i="11"/>
  <c r="D62" i="1"/>
  <c r="D62" i="2"/>
  <c r="D66" i="3"/>
  <c r="N107" i="3"/>
  <c r="L25" i="9"/>
  <c r="K25" i="9" s="1"/>
  <c r="M25" i="9" s="1"/>
  <c r="I31" i="11"/>
  <c r="D31" i="11"/>
  <c r="L31" i="11" s="1"/>
  <c r="K31" i="11" s="1"/>
  <c r="K40" i="11"/>
  <c r="K41" i="11" s="1"/>
  <c r="K59" i="11"/>
  <c r="L66" i="11"/>
  <c r="K66" i="11" s="1"/>
  <c r="F58" i="4"/>
  <c r="F65" i="5"/>
  <c r="N101" i="5"/>
  <c r="L109" i="5" s="1"/>
  <c r="M22" i="9"/>
  <c r="D57" i="10"/>
  <c r="L57" i="10" s="1"/>
  <c r="K57" i="10" s="1"/>
  <c r="I57" i="10"/>
  <c r="M57" i="10" s="1"/>
  <c r="O57" i="10" s="1"/>
  <c r="P45" i="4"/>
  <c r="P54" i="4" s="1"/>
  <c r="L33" i="6"/>
  <c r="K33" i="6" s="1"/>
  <c r="M33" i="6" s="1"/>
  <c r="L30" i="6"/>
  <c r="K30" i="6" s="1"/>
  <c r="M30" i="6" s="1"/>
  <c r="M34" i="6" s="1"/>
  <c r="L34" i="7"/>
  <c r="K34" i="7" s="1"/>
  <c r="M34" i="7" s="1"/>
  <c r="L70" i="10"/>
  <c r="L26" i="1"/>
  <c r="K26" i="1" s="1"/>
  <c r="M26" i="1" s="1"/>
  <c r="P53" i="1"/>
  <c r="P60" i="1"/>
  <c r="C117" i="1"/>
  <c r="K117" i="1" s="1"/>
  <c r="AB64" i="3"/>
  <c r="J115" i="3"/>
  <c r="N103" i="7"/>
  <c r="N101" i="7"/>
  <c r="N89" i="10"/>
  <c r="M89" i="10" s="1"/>
  <c r="O89" i="10" s="1"/>
  <c r="I28" i="11"/>
  <c r="D28" i="11"/>
  <c r="L28" i="11" s="1"/>
  <c r="K28" i="11" s="1"/>
  <c r="L67" i="11"/>
  <c r="K67" i="11" s="1"/>
  <c r="K59" i="1"/>
  <c r="N110" i="1"/>
  <c r="M67" i="2"/>
  <c r="N116" i="2"/>
  <c r="N99" i="6"/>
  <c r="L108" i="6" s="1"/>
  <c r="N96" i="9"/>
  <c r="N32" i="11"/>
  <c r="I67" i="11"/>
  <c r="M67" i="11" s="1"/>
  <c r="J85" i="11"/>
  <c r="M29" i="3"/>
  <c r="L146" i="3"/>
  <c r="L147" i="3" s="1"/>
  <c r="C71" i="10"/>
  <c r="K71" i="10" s="1"/>
  <c r="J71" i="10" s="1"/>
  <c r="L71" i="10" s="1"/>
  <c r="N90" i="10"/>
  <c r="M90" i="10" s="1"/>
  <c r="M49" i="10"/>
  <c r="O49" i="10" s="1"/>
  <c r="M51" i="10"/>
  <c r="O51" i="10" s="1"/>
  <c r="M53" i="10"/>
  <c r="O53" i="10" s="1"/>
  <c r="L30" i="11"/>
  <c r="K30" i="11" s="1"/>
  <c r="M30" i="11" s="1"/>
  <c r="H83" i="11"/>
  <c r="L83" i="11" s="1"/>
  <c r="L88" i="11" s="1"/>
  <c r="N100" i="11"/>
  <c r="M100" i="11" s="1"/>
  <c r="O100" i="11" s="1"/>
  <c r="G101" i="11"/>
  <c r="F101" i="11" s="1"/>
  <c r="N98" i="11"/>
  <c r="M98" i="11" s="1"/>
  <c r="O98" i="11" s="1"/>
  <c r="D69" i="11"/>
  <c r="C84" i="11"/>
  <c r="K84" i="11" s="1"/>
  <c r="J84" i="11" s="1"/>
  <c r="N101" i="11"/>
  <c r="M101" i="11" s="1"/>
  <c r="O101" i="11" s="1"/>
  <c r="G99" i="11"/>
  <c r="F99" i="11" s="1"/>
  <c r="C87" i="11"/>
  <c r="K87" i="11" s="1"/>
  <c r="F97" i="11"/>
  <c r="N99" i="11"/>
  <c r="M99" i="11" s="1"/>
  <c r="O99" i="11" s="1"/>
  <c r="I35" i="11"/>
  <c r="L131" i="7" l="1"/>
  <c r="O64" i="7"/>
  <c r="L140" i="7"/>
  <c r="L33" i="11"/>
  <c r="K33" i="11" s="1"/>
  <c r="M33" i="11" s="1"/>
  <c r="K68" i="11"/>
  <c r="P68" i="11" s="1"/>
  <c r="O90" i="10"/>
  <c r="M26" i="8"/>
  <c r="M26" i="4"/>
  <c r="M33" i="3"/>
  <c r="K67" i="3"/>
  <c r="M33" i="2"/>
  <c r="K63" i="2"/>
  <c r="P65" i="2"/>
  <c r="AB65" i="2"/>
  <c r="M31" i="11"/>
  <c r="P67" i="11"/>
  <c r="P61" i="11"/>
  <c r="O102" i="11"/>
  <c r="P58" i="11"/>
  <c r="O87" i="10"/>
  <c r="M26" i="9"/>
  <c r="P24" i="10"/>
  <c r="P26" i="10"/>
  <c r="P25" i="10"/>
  <c r="P61" i="1"/>
  <c r="P65" i="1" s="1"/>
  <c r="AB61" i="1"/>
  <c r="F69" i="1" s="1"/>
  <c r="P64" i="11"/>
  <c r="P63" i="3"/>
  <c r="AB63" i="3"/>
  <c r="L69" i="11"/>
  <c r="K69" i="11" s="1"/>
  <c r="P69" i="11" s="1"/>
  <c r="O58" i="10"/>
  <c r="L76" i="10"/>
  <c r="P65" i="3"/>
  <c r="P69" i="3" s="1"/>
  <c r="AB65" i="3"/>
  <c r="L62" i="1"/>
  <c r="K62" i="1"/>
  <c r="P67" i="2"/>
  <c r="P69" i="2" s="1"/>
  <c r="AB67" i="2"/>
  <c r="F73" i="2" s="1"/>
  <c r="M35" i="7"/>
  <c r="P66" i="11"/>
  <c r="L58" i="1"/>
  <c r="K58" i="1" s="1"/>
  <c r="N31" i="11"/>
  <c r="L29" i="11"/>
  <c r="K29" i="11" s="1"/>
  <c r="M29" i="11" s="1"/>
  <c r="P59" i="11"/>
  <c r="M28" i="11"/>
  <c r="N28" i="11"/>
  <c r="L66" i="3"/>
  <c r="K66" i="3"/>
  <c r="L62" i="2"/>
  <c r="K62" i="2"/>
  <c r="F58" i="9"/>
  <c r="M31" i="1"/>
  <c r="O91" i="10" l="1"/>
  <c r="F72" i="3"/>
  <c r="M34" i="11"/>
  <c r="P70" i="11"/>
  <c r="Q31"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L6" authorId="0" shapeId="0" xr:uid="{00000000-0006-0000-0000-000001000000}">
      <text>
        <r>
          <rPr>
            <sz val="10"/>
            <color rgb="FF000000"/>
            <rFont val="Arial"/>
            <family val="2"/>
            <scheme val="minor"/>
          </rPr>
          <t>RVO-No., name</t>
        </r>
      </text>
    </comment>
    <comment ref="S6" authorId="0" shapeId="0" xr:uid="{00000000-0006-0000-0000-000002000000}">
      <text>
        <r>
          <rPr>
            <sz val="10"/>
            <color rgb="FF000000"/>
            <rFont val="Arial"/>
            <family val="2"/>
            <scheme val="minor"/>
          </rPr>
          <t>Sample load must be about</t>
        </r>
      </text>
    </comment>
    <comment ref="L7" authorId="0" shapeId="0" xr:uid="{00000000-0006-0000-0000-000003000000}">
      <text>
        <r>
          <rPr>
            <sz val="10"/>
            <color rgb="FF000000"/>
            <rFont val="Arial"/>
            <family val="2"/>
            <scheme val="minor"/>
          </rPr>
          <t>Scale No (SCnnnn-nn-nn-nn)</t>
        </r>
      </text>
    </comment>
    <comment ref="L8" authorId="0" shapeId="0" xr:uid="{885EC7C5-3422-412B-A34A-A522617F8213}">
      <text>
        <r>
          <rPr>
            <sz val="10"/>
            <color rgb="FF000000"/>
            <rFont val="Arial"/>
            <family val="2"/>
            <scheme val="minor"/>
          </rPr>
          <t>Serial-No. of indicator</t>
        </r>
      </text>
    </comment>
    <comment ref="D9" authorId="0" shapeId="0" xr:uid="{00000000-0006-0000-0000-000004000000}">
      <text>
        <r>
          <rPr>
            <sz val="10"/>
            <color rgb="FF000000"/>
            <rFont val="Arial"/>
            <family val="2"/>
            <scheme val="minor"/>
          </rPr>
          <t>Maximum load,
first range</t>
        </r>
      </text>
    </comment>
    <comment ref="L9" authorId="0" shapeId="0" xr:uid="{00000000-0006-0000-0000-000005000000}">
      <text>
        <r>
          <rPr>
            <sz val="10"/>
            <color rgb="FF000000"/>
            <rFont val="Arial"/>
            <family val="2"/>
            <scheme val="minor"/>
          </rPr>
          <t>TAC of indicator</t>
        </r>
      </text>
    </comment>
    <comment ref="S9" authorId="0" shapeId="0" xr:uid="{00000000-0006-0000-0000-000006000000}">
      <text>
        <r>
          <rPr>
            <sz val="10"/>
            <color rgb="FF000000"/>
            <rFont val="Arial"/>
            <family val="2"/>
            <scheme val="minor"/>
          </rPr>
          <t>aufzubringede Last etwa</t>
        </r>
      </text>
    </comment>
    <comment ref="D10" authorId="0" shapeId="0" xr:uid="{00000000-0006-0000-0000-000007000000}">
      <text>
        <r>
          <rPr>
            <sz val="10"/>
            <color rgb="FF000000"/>
            <rFont val="Arial"/>
            <family val="2"/>
            <scheme val="minor"/>
          </rPr>
          <t>Maximum load,
second range</t>
        </r>
      </text>
    </comment>
    <comment ref="L10" authorId="0" shapeId="0" xr:uid="{00000000-0006-0000-0000-000008000000}">
      <text>
        <r>
          <rPr>
            <sz val="10"/>
            <color rgb="FF000000"/>
            <rFont val="Arial"/>
            <family val="2"/>
            <scheme val="minor"/>
          </rPr>
          <t>Software of indicator</t>
        </r>
      </text>
    </comment>
    <comment ref="D11" authorId="0" shapeId="0" xr:uid="{00000000-0006-0000-0000-000009000000}">
      <text>
        <r>
          <rPr>
            <sz val="10"/>
            <color rgb="FF000000"/>
            <rFont val="Arial"/>
            <family val="2"/>
            <scheme val="minor"/>
          </rPr>
          <t>Calibration value,
first range</t>
        </r>
      </text>
    </comment>
    <comment ref="D12" authorId="0" shapeId="0" xr:uid="{00000000-0006-0000-0000-00000A000000}">
      <text>
        <r>
          <rPr>
            <sz val="10"/>
            <color rgb="FF000000"/>
            <rFont val="Arial"/>
            <family val="2"/>
            <scheme val="minor"/>
          </rPr>
          <t>Calibration value,
second range</t>
        </r>
      </text>
    </comment>
    <comment ref="L12" authorId="0" shapeId="0" xr:uid="{00000000-0006-0000-0000-00000B000000}">
      <text>
        <r>
          <rPr>
            <sz val="10"/>
            <color rgb="FF000000"/>
            <rFont val="Arial"/>
            <family val="2"/>
            <scheme val="minor"/>
          </rPr>
          <t>No. Test weight sets</t>
        </r>
      </text>
    </comment>
    <comment ref="S13" authorId="0" shapeId="0" xr:uid="{00000000-0006-0000-0000-00000C000000}">
      <text>
        <r>
          <rPr>
            <sz val="10"/>
            <color rgb="FF000000"/>
            <rFont val="Arial"/>
            <family val="2"/>
            <scheme val="minor"/>
          </rPr>
          <t>Sample load must be about</t>
        </r>
      </text>
    </comment>
    <comment ref="P17" authorId="0" shapeId="0" xr:uid="{00000000-0006-0000-0000-00000D000000}">
      <text>
        <r>
          <rPr>
            <sz val="10"/>
            <color rgb="FF000000"/>
            <rFont val="Arial"/>
            <family val="2"/>
            <scheme val="minor"/>
          </rPr>
          <t>Quantity of load cells</t>
        </r>
      </text>
    </comment>
    <comment ref="S17" authorId="0" shapeId="0" xr:uid="{00000000-0006-0000-0000-00000E000000}">
      <text>
        <r>
          <rPr>
            <sz val="10"/>
            <color rgb="FF000000"/>
            <rFont val="Arial"/>
            <family val="2"/>
            <scheme val="minor"/>
          </rPr>
          <t>aufzubringede Last etwa</t>
        </r>
      </text>
    </comment>
    <comment ref="A21" authorId="0" shapeId="0" xr:uid="{00000000-0006-0000-0000-00000F000000}">
      <text>
        <r>
          <rPr>
            <sz val="10"/>
            <color rgb="FF000000"/>
            <rFont val="Arial"/>
            <family val="2"/>
            <scheme val="minor"/>
          </rPr>
          <t>Sample load must be about</t>
        </r>
      </text>
    </comment>
    <comment ref="D21" authorId="0" shapeId="0" xr:uid="{00000000-0006-0000-0000-000010000000}">
      <text>
        <r>
          <rPr>
            <sz val="10"/>
            <color rgb="FF000000"/>
            <rFont val="Arial"/>
            <family val="2"/>
            <scheme val="minor"/>
          </rPr>
          <t>actual Sample load</t>
        </r>
      </text>
    </comment>
    <comment ref="G21" authorId="0" shapeId="0" xr:uid="{00000000-0006-0000-0000-000011000000}">
      <text>
        <r>
          <rPr>
            <sz val="10"/>
            <color rgb="FF000000"/>
            <rFont val="Arial"/>
            <family val="2"/>
            <scheme val="minor"/>
          </rPr>
          <t>Indication</t>
        </r>
      </text>
    </comment>
    <comment ref="I21" authorId="0" shapeId="0" xr:uid="{00000000-0006-0000-0000-000012000000}">
      <text>
        <r>
          <rPr>
            <sz val="10"/>
            <color rgb="FF000000"/>
            <rFont val="Arial"/>
            <family val="2"/>
            <scheme val="minor"/>
          </rPr>
          <t>Indication error = I - L</t>
        </r>
      </text>
    </comment>
    <comment ref="K21" authorId="0" shapeId="0" xr:uid="{00000000-0006-0000-0000-000013000000}">
      <text>
        <r>
          <rPr>
            <sz val="10"/>
            <color rgb="FF000000"/>
            <rFont val="Arial"/>
            <family val="2"/>
            <scheme val="minor"/>
          </rPr>
          <t>max. permissible error</t>
        </r>
      </text>
    </comment>
    <comment ref="B23" authorId="0" shapeId="0" xr:uid="{00000000-0006-0000-0000-000014000000}">
      <text>
        <r>
          <rPr>
            <sz val="10"/>
            <color rgb="FF000000"/>
            <rFont val="Arial"/>
            <family val="2"/>
            <scheme val="minor"/>
          </rPr>
          <t>80% Max 1</t>
        </r>
      </text>
    </comment>
    <comment ref="E23" authorId="0" shapeId="0" xr:uid="{00000000-0006-0000-0000-000015000000}">
      <text>
        <r>
          <rPr>
            <sz val="10"/>
            <color rgb="FF000000"/>
            <rFont val="Arial"/>
            <family val="2"/>
            <scheme val="minor"/>
          </rPr>
          <t>~80% Max 1</t>
        </r>
      </text>
    </comment>
    <comment ref="G23" authorId="0" shapeId="0" xr:uid="{00000000-0006-0000-0000-000016000000}">
      <text>
        <r>
          <rPr>
            <sz val="10"/>
            <color rgb="FF000000"/>
            <rFont val="Arial"/>
            <family val="2"/>
            <scheme val="minor"/>
          </rPr>
          <t>indicated weight</t>
        </r>
      </text>
    </comment>
    <comment ref="B24" authorId="0" shapeId="0" xr:uid="{00000000-0006-0000-0000-000017000000}">
      <text>
        <r>
          <rPr>
            <sz val="10"/>
            <color rgb="FF000000"/>
            <rFont val="Arial"/>
            <family val="2"/>
            <scheme val="minor"/>
          </rPr>
          <t>80% Max 1</t>
        </r>
      </text>
    </comment>
    <comment ref="B25" authorId="0" shapeId="0" xr:uid="{00000000-0006-0000-0000-000018000000}">
      <text>
        <r>
          <rPr>
            <sz val="10"/>
            <color rgb="FF000000"/>
            <rFont val="Arial"/>
            <family val="2"/>
            <scheme val="minor"/>
          </rPr>
          <t>80% Max 1</t>
        </r>
      </text>
    </comment>
    <comment ref="B27" authorId="0" shapeId="0" xr:uid="{00000000-0006-0000-0000-000019000000}">
      <text>
        <r>
          <rPr>
            <sz val="10"/>
            <color rgb="FF000000"/>
            <rFont val="Arial"/>
            <family val="2"/>
            <scheme val="minor"/>
          </rPr>
          <t>80% Max 2</t>
        </r>
      </text>
    </comment>
    <comment ref="E27" authorId="0" shapeId="0" xr:uid="{00000000-0006-0000-0000-00001A000000}">
      <text>
        <r>
          <rPr>
            <sz val="10"/>
            <color rgb="FF000000"/>
            <rFont val="Arial"/>
            <family val="2"/>
            <scheme val="minor"/>
          </rPr>
          <t>~80% Max 2</t>
        </r>
      </text>
    </comment>
    <comment ref="G27" authorId="0" shapeId="0" xr:uid="{00000000-0006-0000-0000-00001B000000}">
      <text>
        <r>
          <rPr>
            <sz val="10"/>
            <color rgb="FF000000"/>
            <rFont val="Arial"/>
            <family val="2"/>
            <scheme val="minor"/>
          </rPr>
          <t>indicated weight</t>
        </r>
      </text>
    </comment>
    <comment ref="B28" authorId="0" shapeId="0" xr:uid="{00000000-0006-0000-0000-00001C000000}">
      <text>
        <r>
          <rPr>
            <sz val="10"/>
            <color rgb="FF000000"/>
            <rFont val="Arial"/>
            <family val="2"/>
            <scheme val="minor"/>
          </rPr>
          <t>80% Max 2</t>
        </r>
      </text>
    </comment>
    <comment ref="B29" authorId="0" shapeId="0" xr:uid="{00000000-0006-0000-0000-00001D000000}">
      <text>
        <r>
          <rPr>
            <sz val="10"/>
            <color rgb="FF000000"/>
            <rFont val="Arial"/>
            <family val="2"/>
            <scheme val="minor"/>
          </rPr>
          <t>80% Max 2</t>
        </r>
      </text>
    </comment>
    <comment ref="A33" authorId="0" shapeId="0" xr:uid="{00000000-0006-0000-0000-00001E000000}">
      <text>
        <r>
          <rPr>
            <sz val="10"/>
            <color rgb="FF000000"/>
            <rFont val="Arial"/>
            <family val="2"/>
            <scheme val="minor"/>
          </rPr>
          <t>added load until the indication increases to 1e</t>
        </r>
      </text>
    </comment>
    <comment ref="A40" authorId="0" shapeId="0" xr:uid="{00000000-0006-0000-0000-00001F000000}">
      <text>
        <r>
          <rPr>
            <sz val="10"/>
            <color rgb="FF000000"/>
            <rFont val="Arial"/>
            <family val="2"/>
            <scheme val="minor"/>
          </rPr>
          <t>added load until the indication increases to 1e</t>
        </r>
      </text>
    </comment>
    <comment ref="A48" authorId="0" shapeId="0" xr:uid="{00000000-0006-0000-0000-000020000000}">
      <text>
        <r>
          <rPr>
            <sz val="10"/>
            <color rgb="FF000000"/>
            <rFont val="Arial"/>
            <family val="2"/>
            <scheme val="minor"/>
          </rPr>
          <t>Sample load must be about</t>
        </r>
      </text>
    </comment>
    <comment ref="D48" authorId="0" shapeId="0" xr:uid="{00000000-0006-0000-0000-000021000000}">
      <text>
        <r>
          <rPr>
            <sz val="10"/>
            <color rgb="FF000000"/>
            <rFont val="Arial"/>
            <family val="2"/>
            <scheme val="minor"/>
          </rPr>
          <t>actual Sample load</t>
        </r>
      </text>
    </comment>
    <comment ref="G48" authorId="0" shapeId="0" xr:uid="{00000000-0006-0000-0000-000022000000}">
      <text>
        <r>
          <rPr>
            <sz val="10"/>
            <color rgb="FF000000"/>
            <rFont val="Arial"/>
            <family val="2"/>
            <scheme val="minor"/>
          </rPr>
          <t>Indication</t>
        </r>
      </text>
    </comment>
    <comment ref="I48" authorId="0" shapeId="0" xr:uid="{00000000-0006-0000-0000-000023000000}">
      <text>
        <r>
          <rPr>
            <sz val="10"/>
            <color rgb="FF000000"/>
            <rFont val="Arial"/>
            <family val="2"/>
            <scheme val="minor"/>
          </rPr>
          <t>Indication error = I - L</t>
        </r>
      </text>
    </comment>
    <comment ref="K48" authorId="0" shapeId="0" xr:uid="{00000000-0006-0000-0000-000024000000}">
      <text>
        <r>
          <rPr>
            <sz val="10"/>
            <color rgb="FF000000"/>
            <rFont val="Arial"/>
            <family val="2"/>
            <scheme val="minor"/>
          </rPr>
          <t>max. permissible error</t>
        </r>
      </text>
    </comment>
    <comment ref="G50" authorId="0" shapeId="0" xr:uid="{00000000-0006-0000-0000-000025000000}">
      <text>
        <r>
          <rPr>
            <sz val="10"/>
            <color rgb="FF000000"/>
            <rFont val="Arial"/>
            <family val="2"/>
            <scheme val="minor"/>
          </rPr>
          <t>indicated weight</t>
        </r>
      </text>
    </comment>
    <comment ref="G51" authorId="0" shapeId="0" xr:uid="{00000000-0006-0000-0000-000026000000}">
      <text>
        <r>
          <rPr>
            <sz val="10"/>
            <color rgb="FF000000"/>
            <rFont val="Arial"/>
            <family val="2"/>
            <scheme val="minor"/>
          </rPr>
          <t>indicated weight</t>
        </r>
      </text>
    </comment>
    <comment ref="G52" authorId="0" shapeId="0" xr:uid="{00000000-0006-0000-0000-000027000000}">
      <text>
        <r>
          <rPr>
            <sz val="10"/>
            <color rgb="FF000000"/>
            <rFont val="Arial"/>
            <family val="2"/>
            <scheme val="minor"/>
          </rPr>
          <t>indicated weight</t>
        </r>
      </text>
    </comment>
    <comment ref="G53" authorId="0" shapeId="0" xr:uid="{00000000-0006-0000-0000-000028000000}">
      <text>
        <r>
          <rPr>
            <sz val="10"/>
            <color rgb="FF000000"/>
            <rFont val="Arial"/>
            <family val="2"/>
            <scheme val="minor"/>
          </rPr>
          <t>indicated weight</t>
        </r>
      </text>
    </comment>
    <comment ref="G54" authorId="0" shapeId="0" xr:uid="{00000000-0006-0000-0000-000029000000}">
      <text>
        <r>
          <rPr>
            <sz val="10"/>
            <color rgb="FF000000"/>
            <rFont val="Arial"/>
            <family val="2"/>
            <scheme val="minor"/>
          </rPr>
          <t>indicated weight</t>
        </r>
      </text>
    </comment>
    <comment ref="A55" authorId="0" shapeId="0" xr:uid="{00000000-0006-0000-0000-00002A000000}">
      <text>
        <r>
          <rPr>
            <sz val="10"/>
            <color rgb="FF000000"/>
            <rFont val="Arial"/>
            <family val="2"/>
            <scheme val="minor"/>
          </rPr>
          <t>please insert [e] between "A42" and "A45"</t>
        </r>
      </text>
    </comment>
    <comment ref="D55" authorId="0" shapeId="0" xr:uid="{00000000-0006-0000-0000-00002B000000}">
      <text>
        <r>
          <rPr>
            <sz val="10"/>
            <color rgb="FF000000"/>
            <rFont val="Arial"/>
            <family val="2"/>
            <scheme val="minor"/>
          </rPr>
          <t>please insert [e] between "A42" and "A45"</t>
        </r>
      </text>
    </comment>
    <comment ref="G55" authorId="0" shapeId="0" xr:uid="{00000000-0006-0000-0000-00002C000000}">
      <text>
        <r>
          <rPr>
            <sz val="10"/>
            <color rgb="FF000000"/>
            <rFont val="Arial"/>
            <family val="2"/>
            <scheme val="minor"/>
          </rPr>
          <t>indicated weight</t>
        </r>
      </text>
    </comment>
    <comment ref="A56" authorId="0" shapeId="0" xr:uid="{00000000-0006-0000-0000-00002D000000}">
      <text>
        <r>
          <rPr>
            <sz val="10"/>
            <color rgb="FF000000"/>
            <rFont val="Arial"/>
            <family val="2"/>
            <scheme val="minor"/>
          </rPr>
          <t>please insert [e] between "A42" and "A45"</t>
        </r>
      </text>
    </comment>
    <comment ref="D56" authorId="0" shapeId="0" xr:uid="{00000000-0006-0000-0000-00002E000000}">
      <text>
        <r>
          <rPr>
            <sz val="10"/>
            <color rgb="FF000000"/>
            <rFont val="Arial"/>
            <family val="2"/>
            <scheme val="minor"/>
          </rPr>
          <t>please insert [e] between "A42" and "A45"</t>
        </r>
      </text>
    </comment>
    <comment ref="G56" authorId="0" shapeId="0" xr:uid="{00000000-0006-0000-0000-00002F000000}">
      <text>
        <r>
          <rPr>
            <sz val="10"/>
            <color rgb="FF000000"/>
            <rFont val="Arial"/>
            <family val="2"/>
            <scheme val="minor"/>
          </rPr>
          <t>indicated weight</t>
        </r>
      </text>
    </comment>
    <comment ref="G57" authorId="0" shapeId="0" xr:uid="{00000000-0006-0000-0000-000030000000}">
      <text>
        <r>
          <rPr>
            <sz val="10"/>
            <color rgb="FF000000"/>
            <rFont val="Arial"/>
            <family val="2"/>
            <scheme val="minor"/>
          </rPr>
          <t>indicated weight</t>
        </r>
      </text>
    </comment>
    <comment ref="G58" authorId="0" shapeId="0" xr:uid="{00000000-0006-0000-0000-000031000000}">
      <text>
        <r>
          <rPr>
            <sz val="10"/>
            <color rgb="FF000000"/>
            <rFont val="Arial"/>
            <family val="2"/>
            <scheme val="minor"/>
          </rPr>
          <t>indicated weight</t>
        </r>
      </text>
    </comment>
    <comment ref="G59" authorId="0" shapeId="0" xr:uid="{00000000-0006-0000-0000-000032000000}">
      <text>
        <r>
          <rPr>
            <sz val="10"/>
            <color rgb="FF000000"/>
            <rFont val="Arial"/>
            <family val="2"/>
            <scheme val="minor"/>
          </rPr>
          <t>indicated weight</t>
        </r>
      </text>
    </comment>
    <comment ref="G60" authorId="0" shapeId="0" xr:uid="{00000000-0006-0000-0000-000033000000}">
      <text>
        <r>
          <rPr>
            <sz val="10"/>
            <color rgb="FF000000"/>
            <rFont val="Arial"/>
            <family val="2"/>
            <scheme val="minor"/>
          </rPr>
          <t>indicated weight</t>
        </r>
      </text>
    </comment>
    <comment ref="G61" authorId="0" shapeId="0" xr:uid="{00000000-0006-0000-0000-000034000000}">
      <text>
        <r>
          <rPr>
            <sz val="10"/>
            <color rgb="FF000000"/>
            <rFont val="Arial"/>
            <family val="2"/>
            <scheme val="minor"/>
          </rPr>
          <t>indicated weight</t>
        </r>
      </text>
    </comment>
    <comment ref="G62" authorId="0" shapeId="0" xr:uid="{00000000-0006-0000-0000-000035000000}">
      <text>
        <r>
          <rPr>
            <sz val="10"/>
            <color rgb="FF000000"/>
            <rFont val="Arial"/>
            <family val="2"/>
            <scheme val="minor"/>
          </rPr>
          <t>indicated weight</t>
        </r>
      </text>
    </comment>
    <comment ref="G63" authorId="0" shapeId="0" xr:uid="{00000000-0006-0000-0000-000036000000}">
      <text>
        <r>
          <rPr>
            <sz val="10"/>
            <color rgb="FF000000"/>
            <rFont val="Arial"/>
            <family val="2"/>
            <scheme val="minor"/>
          </rPr>
          <t>indicated weight</t>
        </r>
      </text>
    </comment>
    <comment ref="G64" authorId="0" shapeId="0" xr:uid="{00000000-0006-0000-0000-000037000000}">
      <text>
        <r>
          <rPr>
            <sz val="10"/>
            <color rgb="FF000000"/>
            <rFont val="Arial"/>
            <family val="2"/>
            <scheme val="minor"/>
          </rPr>
          <t>indicated weight</t>
        </r>
      </text>
    </comment>
    <comment ref="A75" authorId="0" shapeId="0" xr:uid="{00000000-0006-0000-0000-000038000000}">
      <text>
        <r>
          <rPr>
            <sz val="10"/>
            <color rgb="FF000000"/>
            <rFont val="Arial"/>
            <family val="2"/>
            <scheme val="minor"/>
          </rPr>
          <t>applied load after taring</t>
        </r>
      </text>
    </comment>
    <comment ref="E75" authorId="0" shapeId="0" xr:uid="{00000000-0006-0000-0000-000039000000}">
      <text>
        <r>
          <rPr>
            <sz val="10"/>
            <color rgb="FF000000"/>
            <rFont val="Arial"/>
            <family val="2"/>
            <scheme val="minor"/>
          </rPr>
          <t xml:space="preserve">Indicated weight
</t>
        </r>
      </text>
    </comment>
    <comment ref="Q104" authorId="0" shapeId="0" xr:uid="{00000000-0006-0000-0000-00003A000000}">
      <text>
        <r>
          <rPr>
            <sz val="10"/>
            <color rgb="FF000000"/>
            <rFont val="Arial"/>
            <family val="2"/>
            <scheme val="minor"/>
          </rPr>
          <t>weighing belt only with 4 areas</t>
        </r>
      </text>
    </comment>
    <comment ref="A106" authorId="0" shapeId="0" xr:uid="{00000000-0006-0000-0000-00003B000000}">
      <text>
        <r>
          <rPr>
            <sz val="10"/>
            <color rgb="FF000000"/>
            <rFont val="Arial"/>
            <family val="2"/>
            <scheme val="minor"/>
          </rPr>
          <t>when n&lt;=4 points of support:  L~1/3Max1; 
otherwise:  L~Max1/(n-1)</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L6" authorId="0" shapeId="0" xr:uid="{00000000-0006-0000-0900-000001000000}">
      <text>
        <r>
          <rPr>
            <sz val="10"/>
            <color rgb="FF000000"/>
            <rFont val="Arial"/>
            <family val="2"/>
            <scheme val="minor"/>
          </rPr>
          <t>Test Date</t>
        </r>
      </text>
    </comment>
    <comment ref="L7" authorId="0" shapeId="0" xr:uid="{00000000-0006-0000-0900-000002000000}">
      <text>
        <r>
          <rPr>
            <sz val="10"/>
            <color rgb="FF000000"/>
            <rFont val="Arial"/>
            <family val="2"/>
            <scheme val="minor"/>
          </rPr>
          <t>RVO-No., name</t>
        </r>
      </text>
    </comment>
    <comment ref="L8" authorId="0" shapeId="0" xr:uid="{83FCAC30-49AC-461D-BCB9-B048F3A4B651}">
      <text>
        <r>
          <rPr>
            <sz val="10"/>
            <color rgb="FF000000"/>
            <rFont val="Arial"/>
            <family val="2"/>
            <scheme val="minor"/>
          </rPr>
          <t>Scale No (SCnnnn-nn-nn-nn)</t>
        </r>
      </text>
    </comment>
    <comment ref="D9" authorId="0" shapeId="0" xr:uid="{00000000-0006-0000-0900-000003000000}">
      <text>
        <r>
          <rPr>
            <sz val="10"/>
            <color rgb="FF000000"/>
            <rFont val="Arial"/>
            <family val="2"/>
            <scheme val="minor"/>
          </rPr>
          <t>Maximum load</t>
        </r>
      </text>
    </comment>
    <comment ref="L9" authorId="0" shapeId="0" xr:uid="{00000000-0006-0000-0900-000004000000}">
      <text>
        <r>
          <rPr>
            <sz val="10"/>
            <color rgb="FF000000"/>
            <rFont val="Arial"/>
            <family val="2"/>
            <scheme val="minor"/>
          </rPr>
          <t>Serial-No. of indicator</t>
        </r>
      </text>
    </comment>
    <comment ref="D10" authorId="0" shapeId="0" xr:uid="{00000000-0006-0000-0900-000005000000}">
      <text>
        <r>
          <rPr>
            <sz val="10"/>
            <color rgb="FF000000"/>
            <rFont val="Arial"/>
            <family val="2"/>
            <scheme val="minor"/>
          </rPr>
          <t>Calibration value</t>
        </r>
      </text>
    </comment>
    <comment ref="L10" authorId="0" shapeId="0" xr:uid="{00000000-0006-0000-0900-000006000000}">
      <text>
        <r>
          <rPr>
            <sz val="10"/>
            <color rgb="FF000000"/>
            <rFont val="Arial"/>
            <family val="2"/>
            <scheme val="minor"/>
          </rPr>
          <t>TAC of indicator</t>
        </r>
      </text>
    </comment>
    <comment ref="L11" authorId="0" shapeId="0" xr:uid="{00000000-0006-0000-0900-000007000000}">
      <text>
        <r>
          <rPr>
            <sz val="10"/>
            <color rgb="FF000000"/>
            <rFont val="Arial"/>
            <family val="2"/>
            <scheme val="minor"/>
          </rPr>
          <t>Software of indicator</t>
        </r>
      </text>
    </comment>
    <comment ref="L13" authorId="0" shapeId="0" xr:uid="{00000000-0006-0000-0900-000008000000}">
      <text>
        <r>
          <rPr>
            <sz val="10"/>
            <color rgb="FF000000"/>
            <rFont val="Arial"/>
            <family val="2"/>
            <scheme val="minor"/>
          </rPr>
          <t>No. Test weight sets</t>
        </r>
      </text>
    </comment>
    <comment ref="P17" authorId="0" shapeId="0" xr:uid="{00000000-0006-0000-0900-000009000000}">
      <text>
        <r>
          <rPr>
            <sz val="10"/>
            <color rgb="FF000000"/>
            <rFont val="Arial"/>
            <family val="2"/>
            <scheme val="minor"/>
          </rPr>
          <t>Quantity of load cells</t>
        </r>
      </text>
    </comment>
    <comment ref="A24" authorId="0" shapeId="0" xr:uid="{00000000-0006-0000-0900-00000A000000}">
      <text>
        <r>
          <rPr>
            <sz val="10"/>
            <color rgb="FF000000"/>
            <rFont val="Arial"/>
            <family val="2"/>
            <scheme val="minor"/>
          </rPr>
          <t>Sample load must be about</t>
        </r>
      </text>
    </comment>
    <comment ref="D24" authorId="0" shapeId="0" xr:uid="{00000000-0006-0000-0900-00000B000000}">
      <text>
        <r>
          <rPr>
            <sz val="10"/>
            <color rgb="FF000000"/>
            <rFont val="Arial"/>
            <family val="2"/>
            <scheme val="minor"/>
          </rPr>
          <t>actual Sample load</t>
        </r>
      </text>
    </comment>
    <comment ref="G24" authorId="0" shapeId="0" xr:uid="{00000000-0006-0000-0900-00000C000000}">
      <text>
        <r>
          <rPr>
            <sz val="10"/>
            <color rgb="FF000000"/>
            <rFont val="Arial"/>
            <family val="2"/>
            <scheme val="minor"/>
          </rPr>
          <t>Indication</t>
        </r>
      </text>
    </comment>
    <comment ref="I24" authorId="0" shapeId="0" xr:uid="{00000000-0006-0000-0900-00000D000000}">
      <text>
        <r>
          <rPr>
            <sz val="10"/>
            <color rgb="FF000000"/>
            <rFont val="Arial"/>
            <family val="2"/>
            <scheme val="minor"/>
          </rPr>
          <t>Indication error = I - L</t>
        </r>
      </text>
    </comment>
    <comment ref="K24" authorId="0" shapeId="0" xr:uid="{00000000-0006-0000-0900-00000E000000}">
      <text>
        <r>
          <rPr>
            <sz val="10"/>
            <color rgb="FF000000"/>
            <rFont val="Arial"/>
            <family val="2"/>
            <scheme val="minor"/>
          </rPr>
          <t>max. permissible error</t>
        </r>
      </text>
    </comment>
    <comment ref="N24" authorId="0" shapeId="0" xr:uid="{00000000-0006-0000-0900-00000F000000}">
      <text>
        <r>
          <rPr>
            <sz val="10"/>
            <color rgb="FF000000"/>
            <rFont val="Arial"/>
            <family val="2"/>
            <scheme val="minor"/>
          </rPr>
          <t>error in multiple of e</t>
        </r>
      </text>
    </comment>
    <comment ref="B26" authorId="0" shapeId="0" xr:uid="{00000000-0006-0000-0900-000010000000}">
      <text>
        <r>
          <rPr>
            <sz val="10"/>
            <color rgb="FF000000"/>
            <rFont val="Arial"/>
            <family val="2"/>
            <scheme val="minor"/>
          </rPr>
          <t>50%Max</t>
        </r>
      </text>
    </comment>
    <comment ref="E26" authorId="0" shapeId="0" xr:uid="{00000000-0006-0000-0900-000011000000}">
      <text>
        <r>
          <rPr>
            <sz val="10"/>
            <color rgb="FF000000"/>
            <rFont val="Arial"/>
            <family val="2"/>
            <scheme val="minor"/>
          </rPr>
          <t>load that should be substituted, about 50% Max</t>
        </r>
      </text>
    </comment>
    <comment ref="G26" authorId="0" shapeId="0" xr:uid="{00000000-0006-0000-0900-000012000000}">
      <text>
        <r>
          <rPr>
            <sz val="10"/>
            <color rgb="FF000000"/>
            <rFont val="Arial"/>
            <family val="2"/>
            <scheme val="minor"/>
          </rPr>
          <t>indicated weight</t>
        </r>
      </text>
    </comment>
    <comment ref="B27" authorId="0" shapeId="0" xr:uid="{00000000-0006-0000-0900-000013000000}">
      <text>
        <r>
          <rPr>
            <sz val="10"/>
            <color rgb="FF000000"/>
            <rFont val="Arial"/>
            <family val="2"/>
            <scheme val="minor"/>
          </rPr>
          <t>50%Max</t>
        </r>
      </text>
    </comment>
    <comment ref="B28" authorId="0" shapeId="0" xr:uid="{00000000-0006-0000-0900-000014000000}">
      <text>
        <r>
          <rPr>
            <sz val="10"/>
            <color rgb="FF000000"/>
            <rFont val="Arial"/>
            <family val="2"/>
            <scheme val="minor"/>
          </rPr>
          <t>50%Max</t>
        </r>
      </text>
    </comment>
    <comment ref="A33" authorId="0" shapeId="0" xr:uid="{00000000-0006-0000-0900-000015000000}">
      <text>
        <r>
          <rPr>
            <sz val="10"/>
            <color rgb="FF000000"/>
            <rFont val="Arial"/>
            <family val="2"/>
            <scheme val="minor"/>
          </rPr>
          <t>added load until the indication increases to 1e</t>
        </r>
      </text>
    </comment>
    <comment ref="A40" authorId="0" shapeId="0" xr:uid="{00000000-0006-0000-0900-000016000000}">
      <text>
        <r>
          <rPr>
            <sz val="10"/>
            <color rgb="FF000000"/>
            <rFont val="Arial"/>
            <family val="2"/>
            <scheme val="minor"/>
          </rPr>
          <t>added load until the indication increases to 1e</t>
        </r>
      </text>
    </comment>
    <comment ref="A47" authorId="0" shapeId="0" xr:uid="{00000000-0006-0000-0900-000017000000}">
      <text>
        <r>
          <rPr>
            <sz val="10"/>
            <color rgb="FF000000"/>
            <rFont val="Arial"/>
            <family val="2"/>
            <scheme val="minor"/>
          </rPr>
          <t>Sample load must be about</t>
        </r>
      </text>
    </comment>
    <comment ref="D47" authorId="0" shapeId="0" xr:uid="{00000000-0006-0000-0900-000018000000}">
      <text>
        <r>
          <rPr>
            <sz val="10"/>
            <color rgb="FF000000"/>
            <rFont val="Arial"/>
            <family val="2"/>
            <scheme val="minor"/>
          </rPr>
          <t>actual Sample load</t>
        </r>
      </text>
    </comment>
    <comment ref="G47" authorId="0" shapeId="0" xr:uid="{00000000-0006-0000-0900-000019000000}">
      <text>
        <r>
          <rPr>
            <sz val="10"/>
            <color rgb="FF000000"/>
            <rFont val="Arial"/>
            <family val="2"/>
            <scheme val="minor"/>
          </rPr>
          <t>Indication</t>
        </r>
      </text>
    </comment>
    <comment ref="I47" authorId="0" shapeId="0" xr:uid="{00000000-0006-0000-0900-00001A000000}">
      <text>
        <r>
          <rPr>
            <sz val="10"/>
            <color rgb="FF000000"/>
            <rFont val="Arial"/>
            <family val="2"/>
            <scheme val="minor"/>
          </rPr>
          <t>Indication error = I - L</t>
        </r>
      </text>
    </comment>
    <comment ref="K47" authorId="0" shapeId="0" xr:uid="{00000000-0006-0000-0900-00001B000000}">
      <text>
        <r>
          <rPr>
            <sz val="10"/>
            <color rgb="FF000000"/>
            <rFont val="Arial"/>
            <family val="2"/>
            <scheme val="minor"/>
          </rPr>
          <t>max. permissible error</t>
        </r>
      </text>
    </comment>
    <comment ref="G49" authorId="0" shapeId="0" xr:uid="{00000000-0006-0000-0900-00001C000000}">
      <text>
        <r>
          <rPr>
            <sz val="10"/>
            <color rgb="FF000000"/>
            <rFont val="Arial"/>
            <family val="2"/>
            <scheme val="minor"/>
          </rPr>
          <t>indicated weight</t>
        </r>
      </text>
    </comment>
    <comment ref="G50" authorId="0" shapeId="0" xr:uid="{00000000-0006-0000-0900-00001D000000}">
      <text>
        <r>
          <rPr>
            <sz val="10"/>
            <color rgb="FF000000"/>
            <rFont val="Arial"/>
            <family val="2"/>
            <scheme val="minor"/>
          </rPr>
          <t>indicated weight</t>
        </r>
      </text>
    </comment>
    <comment ref="G51" authorId="0" shapeId="0" xr:uid="{00000000-0006-0000-0900-00001E000000}">
      <text>
        <r>
          <rPr>
            <sz val="10"/>
            <color rgb="FF000000"/>
            <rFont val="Arial"/>
            <family val="2"/>
            <scheme val="minor"/>
          </rPr>
          <t>indicated weight</t>
        </r>
      </text>
    </comment>
    <comment ref="G52" authorId="0" shapeId="0" xr:uid="{00000000-0006-0000-0900-00001F000000}">
      <text>
        <r>
          <rPr>
            <sz val="10"/>
            <color rgb="FF000000"/>
            <rFont val="Arial"/>
            <family val="2"/>
            <scheme val="minor"/>
          </rPr>
          <t>indicated weight</t>
        </r>
      </text>
    </comment>
    <comment ref="G53" authorId="0" shapeId="0" xr:uid="{00000000-0006-0000-0900-000020000000}">
      <text>
        <r>
          <rPr>
            <sz val="10"/>
            <color rgb="FF000000"/>
            <rFont val="Arial"/>
            <family val="2"/>
            <scheme val="minor"/>
          </rPr>
          <t>indicated weight</t>
        </r>
      </text>
    </comment>
    <comment ref="G54" authorId="0" shapeId="0" xr:uid="{00000000-0006-0000-0900-000021000000}">
      <text>
        <r>
          <rPr>
            <sz val="10"/>
            <color rgb="FF000000"/>
            <rFont val="Arial"/>
            <family val="2"/>
            <scheme val="minor"/>
          </rPr>
          <t>indicated weight</t>
        </r>
      </text>
    </comment>
    <comment ref="G55" authorId="0" shapeId="0" xr:uid="{00000000-0006-0000-0900-000022000000}">
      <text>
        <r>
          <rPr>
            <sz val="10"/>
            <color rgb="FF000000"/>
            <rFont val="Arial"/>
            <family val="2"/>
            <scheme val="minor"/>
          </rPr>
          <t>indicated weight</t>
        </r>
      </text>
    </comment>
    <comment ref="G56" authorId="0" shapeId="0" xr:uid="{00000000-0006-0000-0900-000023000000}">
      <text>
        <r>
          <rPr>
            <sz val="10"/>
            <color rgb="FF000000"/>
            <rFont val="Arial"/>
            <family val="2"/>
            <scheme val="minor"/>
          </rPr>
          <t>indicated weight</t>
        </r>
      </text>
    </comment>
    <comment ref="G57" authorId="0" shapeId="0" xr:uid="{00000000-0006-0000-0900-000024000000}">
      <text>
        <r>
          <rPr>
            <sz val="10"/>
            <color rgb="FF000000"/>
            <rFont val="Arial"/>
            <family val="2"/>
            <scheme val="minor"/>
          </rPr>
          <t>indicated weight</t>
        </r>
      </text>
    </comment>
    <comment ref="A68" authorId="0" shapeId="0" xr:uid="{00000000-0006-0000-0900-000025000000}">
      <text>
        <r>
          <rPr>
            <sz val="10"/>
            <color rgb="FF000000"/>
            <rFont val="Arial"/>
            <family val="2"/>
            <scheme val="minor"/>
          </rPr>
          <t>when n&lt;=4 points of support:  L~1/3Max; 
otherwise:  L~Max/(n-1)</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L6" authorId="0" shapeId="0" xr:uid="{00000000-0006-0000-0A00-000001000000}">
      <text>
        <r>
          <rPr>
            <sz val="10"/>
            <color rgb="FF000000"/>
            <rFont val="Arial"/>
            <family val="2"/>
            <scheme val="minor"/>
          </rPr>
          <t>Test Date</t>
        </r>
      </text>
    </comment>
    <comment ref="S6" authorId="0" shapeId="0" xr:uid="{00000000-0006-0000-0A00-000002000000}">
      <text>
        <r>
          <rPr>
            <sz val="10"/>
            <color rgb="FF000000"/>
            <rFont val="Arial"/>
            <family val="2"/>
            <scheme val="minor"/>
          </rPr>
          <t>Sample load must be about</t>
        </r>
      </text>
    </comment>
    <comment ref="L7" authorId="0" shapeId="0" xr:uid="{00000000-0006-0000-0A00-000003000000}">
      <text>
        <r>
          <rPr>
            <sz val="10"/>
            <color rgb="FF000000"/>
            <rFont val="Arial"/>
            <family val="2"/>
            <scheme val="minor"/>
          </rPr>
          <t>RVO-No., name</t>
        </r>
      </text>
    </comment>
    <comment ref="L8" authorId="0" shapeId="0" xr:uid="{52E1D255-DE25-4146-ADF6-9A53C5AA9006}">
      <text>
        <r>
          <rPr>
            <sz val="10"/>
            <color rgb="FF000000"/>
            <rFont val="Arial"/>
            <family val="2"/>
            <scheme val="minor"/>
          </rPr>
          <t>Scale No (SCnnnn-nn-nn-nn)</t>
        </r>
      </text>
    </comment>
    <comment ref="D9" authorId="0" shapeId="0" xr:uid="{00000000-0006-0000-0A00-000004000000}">
      <text>
        <r>
          <rPr>
            <sz val="10"/>
            <color rgb="FF000000"/>
            <rFont val="Arial"/>
            <family val="2"/>
            <scheme val="minor"/>
          </rPr>
          <t>Maximum load,
first range</t>
        </r>
      </text>
    </comment>
    <comment ref="L9" authorId="0" shapeId="0" xr:uid="{00000000-0006-0000-0A00-000005000000}">
      <text>
        <r>
          <rPr>
            <sz val="10"/>
            <color rgb="FF000000"/>
            <rFont val="Arial"/>
            <family val="2"/>
            <scheme val="minor"/>
          </rPr>
          <t>Serial-No. of scale</t>
        </r>
      </text>
    </comment>
    <comment ref="D10" authorId="0" shapeId="0" xr:uid="{00000000-0006-0000-0A00-000006000000}">
      <text>
        <r>
          <rPr>
            <sz val="10"/>
            <color rgb="FF000000"/>
            <rFont val="Arial"/>
            <family val="2"/>
            <scheme val="minor"/>
          </rPr>
          <t>Maximum load,
second range</t>
        </r>
      </text>
    </comment>
    <comment ref="L10" authorId="0" shapeId="0" xr:uid="{00000000-0006-0000-0A00-000007000000}">
      <text>
        <r>
          <rPr>
            <sz val="10"/>
            <color rgb="FF000000"/>
            <rFont val="Arial"/>
            <family val="2"/>
            <scheme val="minor"/>
          </rPr>
          <t>TAC of indicator</t>
        </r>
      </text>
    </comment>
    <comment ref="S10" authorId="0" shapeId="0" xr:uid="{00000000-0006-0000-0A00-000008000000}">
      <text>
        <r>
          <rPr>
            <sz val="10"/>
            <color rgb="FF000000"/>
            <rFont val="Arial"/>
            <family val="2"/>
            <scheme val="minor"/>
          </rPr>
          <t>aufzubringede Last etwa</t>
        </r>
      </text>
    </comment>
    <comment ref="D11" authorId="0" shapeId="0" xr:uid="{00000000-0006-0000-0A00-000009000000}">
      <text>
        <r>
          <rPr>
            <sz val="10"/>
            <color rgb="FF000000"/>
            <rFont val="Arial"/>
            <family val="2"/>
            <scheme val="minor"/>
          </rPr>
          <t>Calibration value,
first range</t>
        </r>
      </text>
    </comment>
    <comment ref="L11" authorId="0" shapeId="0" xr:uid="{00000000-0006-0000-0A00-00000A000000}">
      <text>
        <r>
          <rPr>
            <sz val="10"/>
            <color rgb="FF000000"/>
            <rFont val="Arial"/>
            <family val="2"/>
            <scheme val="minor"/>
          </rPr>
          <t>Software of indicator</t>
        </r>
      </text>
    </comment>
    <comment ref="D12" authorId="0" shapeId="0" xr:uid="{00000000-0006-0000-0A00-00000B000000}">
      <text>
        <r>
          <rPr>
            <sz val="10"/>
            <color rgb="FF000000"/>
            <rFont val="Arial"/>
            <family val="2"/>
            <scheme val="minor"/>
          </rPr>
          <t>Calibration value,
second range</t>
        </r>
      </text>
    </comment>
    <comment ref="L13" authorId="0" shapeId="0" xr:uid="{00000000-0006-0000-0A00-00000C000000}">
      <text>
        <r>
          <rPr>
            <sz val="10"/>
            <color rgb="FF000000"/>
            <rFont val="Arial"/>
            <family val="2"/>
            <scheme val="minor"/>
          </rPr>
          <t>No. Test weight sets</t>
        </r>
      </text>
    </comment>
    <comment ref="S14" authorId="0" shapeId="0" xr:uid="{00000000-0006-0000-0A00-00000D000000}">
      <text>
        <r>
          <rPr>
            <sz val="10"/>
            <color rgb="FF000000"/>
            <rFont val="Arial"/>
            <family val="2"/>
            <scheme val="minor"/>
          </rPr>
          <t>Sample load must be about</t>
        </r>
      </text>
    </comment>
    <comment ref="P18" authorId="0" shapeId="0" xr:uid="{00000000-0006-0000-0A00-00000E000000}">
      <text>
        <r>
          <rPr>
            <sz val="10"/>
            <color rgb="FF000000"/>
            <rFont val="Arial"/>
            <family val="2"/>
            <scheme val="minor"/>
          </rPr>
          <t>Quantity of load cells</t>
        </r>
      </text>
    </comment>
    <comment ref="S18" authorId="0" shapeId="0" xr:uid="{00000000-0006-0000-0A00-00000F000000}">
      <text>
        <r>
          <rPr>
            <sz val="10"/>
            <color rgb="FF000000"/>
            <rFont val="Arial"/>
            <family val="2"/>
            <scheme val="minor"/>
          </rPr>
          <t>aufzubringede Last etwa</t>
        </r>
      </text>
    </comment>
    <comment ref="A24" authorId="0" shapeId="0" xr:uid="{00000000-0006-0000-0A00-000010000000}">
      <text>
        <r>
          <rPr>
            <sz val="10"/>
            <color rgb="FF000000"/>
            <rFont val="Arial"/>
            <family val="2"/>
            <scheme val="minor"/>
          </rPr>
          <t>Sample load must be about</t>
        </r>
      </text>
    </comment>
    <comment ref="D24" authorId="0" shapeId="0" xr:uid="{00000000-0006-0000-0A00-000011000000}">
      <text>
        <r>
          <rPr>
            <sz val="10"/>
            <color rgb="FF000000"/>
            <rFont val="Arial"/>
            <family val="2"/>
            <scheme val="minor"/>
          </rPr>
          <t>actual Sample load</t>
        </r>
      </text>
    </comment>
    <comment ref="G24" authorId="0" shapeId="0" xr:uid="{00000000-0006-0000-0A00-000012000000}">
      <text>
        <r>
          <rPr>
            <sz val="10"/>
            <color rgb="FF000000"/>
            <rFont val="Arial"/>
            <family val="2"/>
            <scheme val="minor"/>
          </rPr>
          <t>Indication</t>
        </r>
      </text>
    </comment>
    <comment ref="I24" authorId="0" shapeId="0" xr:uid="{00000000-0006-0000-0A00-000013000000}">
      <text>
        <r>
          <rPr>
            <sz val="10"/>
            <color rgb="FF000000"/>
            <rFont val="Arial"/>
            <family val="2"/>
            <scheme val="minor"/>
          </rPr>
          <t>Indication error = I - L</t>
        </r>
      </text>
    </comment>
    <comment ref="K24" authorId="0" shapeId="0" xr:uid="{00000000-0006-0000-0A00-000014000000}">
      <text>
        <r>
          <rPr>
            <sz val="10"/>
            <color rgb="FF000000"/>
            <rFont val="Arial"/>
            <family val="2"/>
            <scheme val="minor"/>
          </rPr>
          <t>max. permissible error</t>
        </r>
      </text>
    </comment>
    <comment ref="N24" authorId="0" shapeId="0" xr:uid="{00000000-0006-0000-0A00-000015000000}">
      <text>
        <r>
          <rPr>
            <sz val="10"/>
            <color rgb="FF000000"/>
            <rFont val="Arial"/>
            <family val="2"/>
            <scheme val="minor"/>
          </rPr>
          <t>error in multiple of e</t>
        </r>
      </text>
    </comment>
    <comment ref="B26" authorId="0" shapeId="0" xr:uid="{00000000-0006-0000-0A00-000016000000}">
      <text>
        <r>
          <rPr>
            <sz val="10"/>
            <color rgb="FF000000"/>
            <rFont val="Arial"/>
            <family val="2"/>
            <scheme val="minor"/>
          </rPr>
          <t>50% Max 1</t>
        </r>
      </text>
    </comment>
    <comment ref="E26" authorId="0" shapeId="0" xr:uid="{00000000-0006-0000-0A00-000017000000}">
      <text>
        <r>
          <rPr>
            <sz val="10"/>
            <color rgb="FF000000"/>
            <rFont val="Arial"/>
            <family val="2"/>
            <scheme val="minor"/>
          </rPr>
          <t>~80% Max 1</t>
        </r>
      </text>
    </comment>
    <comment ref="G26" authorId="0" shapeId="0" xr:uid="{00000000-0006-0000-0A00-000018000000}">
      <text>
        <r>
          <rPr>
            <sz val="10"/>
            <color rgb="FF000000"/>
            <rFont val="Arial"/>
            <family val="2"/>
            <scheme val="minor"/>
          </rPr>
          <t>indicated weight</t>
        </r>
      </text>
    </comment>
    <comment ref="B27" authorId="0" shapeId="0" xr:uid="{00000000-0006-0000-0A00-000019000000}">
      <text>
        <r>
          <rPr>
            <sz val="10"/>
            <color rgb="FF000000"/>
            <rFont val="Arial"/>
            <family val="2"/>
            <scheme val="minor"/>
          </rPr>
          <t>50% Max 1</t>
        </r>
      </text>
    </comment>
    <comment ref="B28" authorId="0" shapeId="0" xr:uid="{00000000-0006-0000-0A00-00001A000000}">
      <text>
        <r>
          <rPr>
            <sz val="10"/>
            <color rgb="FF000000"/>
            <rFont val="Arial"/>
            <family val="2"/>
            <scheme val="minor"/>
          </rPr>
          <t>50% Max 1</t>
        </r>
      </text>
    </comment>
    <comment ref="B30" authorId="0" shapeId="0" xr:uid="{00000000-0006-0000-0A00-00001B000000}">
      <text>
        <r>
          <rPr>
            <sz val="10"/>
            <color rgb="FF000000"/>
            <rFont val="Arial"/>
            <family val="2"/>
            <scheme val="minor"/>
          </rPr>
          <t>50% Max 2</t>
        </r>
      </text>
    </comment>
    <comment ref="E30" authorId="0" shapeId="0" xr:uid="{00000000-0006-0000-0A00-00001C000000}">
      <text>
        <r>
          <rPr>
            <sz val="10"/>
            <color rgb="FF000000"/>
            <rFont val="Arial"/>
            <family val="2"/>
            <scheme val="minor"/>
          </rPr>
          <t>~80% Max 2</t>
        </r>
      </text>
    </comment>
    <comment ref="G30" authorId="0" shapeId="0" xr:uid="{00000000-0006-0000-0A00-00001D000000}">
      <text>
        <r>
          <rPr>
            <sz val="10"/>
            <color rgb="FF000000"/>
            <rFont val="Arial"/>
            <family val="2"/>
            <scheme val="minor"/>
          </rPr>
          <t>indicated weight</t>
        </r>
      </text>
    </comment>
    <comment ref="B31" authorId="0" shapeId="0" xr:uid="{00000000-0006-0000-0A00-00001E000000}">
      <text>
        <r>
          <rPr>
            <sz val="10"/>
            <color rgb="FF000000"/>
            <rFont val="Arial"/>
            <family val="2"/>
            <scheme val="minor"/>
          </rPr>
          <t>50% Max 2</t>
        </r>
      </text>
    </comment>
    <comment ref="B32" authorId="0" shapeId="0" xr:uid="{00000000-0006-0000-0A00-00001F000000}">
      <text>
        <r>
          <rPr>
            <sz val="10"/>
            <color rgb="FF000000"/>
            <rFont val="Arial"/>
            <family val="2"/>
            <scheme val="minor"/>
          </rPr>
          <t>50% Max 2</t>
        </r>
      </text>
    </comment>
    <comment ref="A38" authorId="0" shapeId="0" xr:uid="{00000000-0006-0000-0A00-000020000000}">
      <text>
        <r>
          <rPr>
            <sz val="10"/>
            <color rgb="FF000000"/>
            <rFont val="Arial"/>
            <family val="2"/>
            <scheme val="minor"/>
          </rPr>
          <t>added load until the indication increases to 1e</t>
        </r>
      </text>
    </comment>
    <comment ref="A45" authorId="0" shapeId="0" xr:uid="{00000000-0006-0000-0A00-000021000000}">
      <text>
        <r>
          <rPr>
            <sz val="10"/>
            <color rgb="FF000000"/>
            <rFont val="Arial"/>
            <family val="2"/>
            <scheme val="minor"/>
          </rPr>
          <t>added load until the indication increases to 1e</t>
        </r>
      </text>
    </comment>
    <comment ref="A53" authorId="0" shapeId="0" xr:uid="{00000000-0006-0000-0A00-000022000000}">
      <text>
        <r>
          <rPr>
            <sz val="10"/>
            <color rgb="FF000000"/>
            <rFont val="Arial"/>
            <family val="2"/>
            <scheme val="minor"/>
          </rPr>
          <t>Sample load must be about</t>
        </r>
      </text>
    </comment>
    <comment ref="D53" authorId="0" shapeId="0" xr:uid="{00000000-0006-0000-0A00-000023000000}">
      <text>
        <r>
          <rPr>
            <sz val="10"/>
            <color rgb="FF000000"/>
            <rFont val="Arial"/>
            <family val="2"/>
            <scheme val="minor"/>
          </rPr>
          <t>actual Sample load</t>
        </r>
      </text>
    </comment>
    <comment ref="G53" authorId="0" shapeId="0" xr:uid="{00000000-0006-0000-0A00-000024000000}">
      <text>
        <r>
          <rPr>
            <sz val="10"/>
            <color rgb="FF000000"/>
            <rFont val="Arial"/>
            <family val="2"/>
            <scheme val="minor"/>
          </rPr>
          <t>Indication</t>
        </r>
      </text>
    </comment>
    <comment ref="I53" authorId="0" shapeId="0" xr:uid="{00000000-0006-0000-0A00-000025000000}">
      <text>
        <r>
          <rPr>
            <sz val="10"/>
            <color rgb="FF000000"/>
            <rFont val="Arial"/>
            <family val="2"/>
            <scheme val="minor"/>
          </rPr>
          <t>Indication error = I - L</t>
        </r>
      </text>
    </comment>
    <comment ref="K53" authorId="0" shapeId="0" xr:uid="{00000000-0006-0000-0A00-000026000000}">
      <text>
        <r>
          <rPr>
            <sz val="10"/>
            <color rgb="FF000000"/>
            <rFont val="Arial"/>
            <family val="2"/>
            <scheme val="minor"/>
          </rPr>
          <t>max. permissible error</t>
        </r>
      </text>
    </comment>
    <comment ref="G55" authorId="0" shapeId="0" xr:uid="{00000000-0006-0000-0A00-000027000000}">
      <text>
        <r>
          <rPr>
            <sz val="10"/>
            <color rgb="FF000000"/>
            <rFont val="Arial"/>
            <family val="2"/>
            <scheme val="minor"/>
          </rPr>
          <t>indicated weight</t>
        </r>
      </text>
    </comment>
    <comment ref="G56" authorId="0" shapeId="0" xr:uid="{00000000-0006-0000-0A00-000028000000}">
      <text>
        <r>
          <rPr>
            <sz val="10"/>
            <color rgb="FF000000"/>
            <rFont val="Arial"/>
            <family val="2"/>
            <scheme val="minor"/>
          </rPr>
          <t>indicated weight</t>
        </r>
      </text>
    </comment>
    <comment ref="G57" authorId="0" shapeId="0" xr:uid="{00000000-0006-0000-0A00-000029000000}">
      <text>
        <r>
          <rPr>
            <sz val="10"/>
            <color rgb="FF000000"/>
            <rFont val="Arial"/>
            <family val="2"/>
            <scheme val="minor"/>
          </rPr>
          <t>indicated weight</t>
        </r>
      </text>
    </comment>
    <comment ref="G58" authorId="0" shapeId="0" xr:uid="{00000000-0006-0000-0A00-00002A000000}">
      <text>
        <r>
          <rPr>
            <sz val="10"/>
            <color rgb="FF000000"/>
            <rFont val="Arial"/>
            <family val="2"/>
            <scheme val="minor"/>
          </rPr>
          <t>indicated weight</t>
        </r>
      </text>
    </comment>
    <comment ref="G59" authorId="0" shapeId="0" xr:uid="{00000000-0006-0000-0A00-00002B000000}">
      <text>
        <r>
          <rPr>
            <sz val="10"/>
            <color rgb="FF000000"/>
            <rFont val="Arial"/>
            <family val="2"/>
            <scheme val="minor"/>
          </rPr>
          <t>indicated weight</t>
        </r>
      </text>
    </comment>
    <comment ref="A60" authorId="0" shapeId="0" xr:uid="{00000000-0006-0000-0A00-00002C000000}">
      <text>
        <r>
          <rPr>
            <sz val="10"/>
            <color rgb="FF000000"/>
            <rFont val="Arial"/>
            <family val="2"/>
            <scheme val="minor"/>
          </rPr>
          <t>please insert [e] between "A58" and "A61
"</t>
        </r>
      </text>
    </comment>
    <comment ref="G60" authorId="0" shapeId="0" xr:uid="{00000000-0006-0000-0A00-00002D000000}">
      <text>
        <r>
          <rPr>
            <sz val="10"/>
            <color rgb="FF000000"/>
            <rFont val="Arial"/>
            <family val="2"/>
            <scheme val="minor"/>
          </rPr>
          <t>indicated weight</t>
        </r>
      </text>
    </comment>
    <comment ref="A61" authorId="0" shapeId="0" xr:uid="{00000000-0006-0000-0A00-00002E000000}">
      <text>
        <r>
          <rPr>
            <sz val="10"/>
            <color rgb="FF000000"/>
            <rFont val="Arial"/>
            <family val="2"/>
            <scheme val="minor"/>
          </rPr>
          <t>please insert [e] between "A58" and "A61"</t>
        </r>
      </text>
    </comment>
    <comment ref="G61" authorId="0" shapeId="0" xr:uid="{00000000-0006-0000-0A00-00002F000000}">
      <text>
        <r>
          <rPr>
            <sz val="10"/>
            <color rgb="FF000000"/>
            <rFont val="Arial"/>
            <family val="2"/>
            <scheme val="minor"/>
          </rPr>
          <t>indicated weight</t>
        </r>
      </text>
    </comment>
    <comment ref="G62" authorId="0" shapeId="0" xr:uid="{00000000-0006-0000-0A00-000030000000}">
      <text>
        <r>
          <rPr>
            <sz val="10"/>
            <color rgb="FF000000"/>
            <rFont val="Arial"/>
            <family val="2"/>
            <scheme val="minor"/>
          </rPr>
          <t>indicated weight</t>
        </r>
      </text>
    </comment>
    <comment ref="G63" authorId="0" shapeId="0" xr:uid="{00000000-0006-0000-0A00-000031000000}">
      <text>
        <r>
          <rPr>
            <sz val="10"/>
            <color rgb="FF000000"/>
            <rFont val="Arial"/>
            <family val="2"/>
            <scheme val="minor"/>
          </rPr>
          <t>indicated weight</t>
        </r>
      </text>
    </comment>
    <comment ref="G64" authorId="0" shapeId="0" xr:uid="{00000000-0006-0000-0A00-000032000000}">
      <text>
        <r>
          <rPr>
            <sz val="10"/>
            <color rgb="FF000000"/>
            <rFont val="Arial"/>
            <family val="2"/>
            <scheme val="minor"/>
          </rPr>
          <t>indicated weight</t>
        </r>
      </text>
    </comment>
    <comment ref="G65" authorId="0" shapeId="0" xr:uid="{00000000-0006-0000-0A00-000033000000}">
      <text>
        <r>
          <rPr>
            <sz val="10"/>
            <color rgb="FF000000"/>
            <rFont val="Arial"/>
            <family val="2"/>
            <scheme val="minor"/>
          </rPr>
          <t>indicated weight</t>
        </r>
      </text>
    </comment>
    <comment ref="G66" authorId="0" shapeId="0" xr:uid="{00000000-0006-0000-0A00-000034000000}">
      <text>
        <r>
          <rPr>
            <sz val="10"/>
            <color rgb="FF000000"/>
            <rFont val="Arial"/>
            <family val="2"/>
            <scheme val="minor"/>
          </rPr>
          <t>indicated weight</t>
        </r>
      </text>
    </comment>
    <comment ref="G67" authorId="0" shapeId="0" xr:uid="{00000000-0006-0000-0A00-000035000000}">
      <text>
        <r>
          <rPr>
            <sz val="10"/>
            <color rgb="FF000000"/>
            <rFont val="Arial"/>
            <family val="2"/>
            <scheme val="minor"/>
          </rPr>
          <t>indicated weight</t>
        </r>
      </text>
    </comment>
    <comment ref="G68" authorId="0" shapeId="0" xr:uid="{00000000-0006-0000-0A00-000036000000}">
      <text>
        <r>
          <rPr>
            <sz val="10"/>
            <color rgb="FF000000"/>
            <rFont val="Arial"/>
            <family val="2"/>
            <scheme val="minor"/>
          </rPr>
          <t>indicated weight</t>
        </r>
      </text>
    </comment>
    <comment ref="A80" authorId="0" shapeId="0" xr:uid="{00000000-0006-0000-0A00-000037000000}">
      <text>
        <r>
          <rPr>
            <sz val="10"/>
            <color rgb="FF000000"/>
            <rFont val="Arial"/>
            <family val="2"/>
            <scheme val="minor"/>
          </rPr>
          <t>when n&lt;=4 points of support:  L~1/3Max1; 
otherwise:  L~Max1/(n-1)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L6" authorId="0" shapeId="0" xr:uid="{00000000-0006-0000-0100-000001000000}">
      <text>
        <r>
          <rPr>
            <sz val="10"/>
            <color rgb="FF000000"/>
            <rFont val="Arial"/>
            <family val="2"/>
            <scheme val="minor"/>
          </rPr>
          <t>RVO-No., name</t>
        </r>
      </text>
    </comment>
    <comment ref="S6" authorId="0" shapeId="0" xr:uid="{00000000-0006-0000-0100-000002000000}">
      <text>
        <r>
          <rPr>
            <sz val="10"/>
            <color rgb="FF000000"/>
            <rFont val="Arial"/>
            <family val="2"/>
            <scheme val="minor"/>
          </rPr>
          <t>Sample load must be about</t>
        </r>
      </text>
    </comment>
    <comment ref="L7" authorId="0" shapeId="0" xr:uid="{00000000-0006-0000-0100-000003000000}">
      <text>
        <r>
          <rPr>
            <sz val="10"/>
            <color rgb="FF000000"/>
            <rFont val="Arial"/>
            <family val="2"/>
            <scheme val="minor"/>
          </rPr>
          <t>Scale No (SCnnnn-nn-nn-nn)</t>
        </r>
      </text>
    </comment>
    <comment ref="L8" authorId="0" shapeId="0" xr:uid="{0CC1D11C-5297-426B-BA9F-73460D7C55AB}">
      <text>
        <r>
          <rPr>
            <sz val="10"/>
            <color rgb="FF000000"/>
            <rFont val="Arial"/>
            <family val="2"/>
            <scheme val="minor"/>
          </rPr>
          <t>Serial-No. of indicator</t>
        </r>
      </text>
    </comment>
    <comment ref="D9" authorId="0" shapeId="0" xr:uid="{00000000-0006-0000-0100-000004000000}">
      <text>
        <r>
          <rPr>
            <sz val="10"/>
            <color rgb="FF000000"/>
            <rFont val="Arial"/>
            <family val="2"/>
            <scheme val="minor"/>
          </rPr>
          <t>Maximum load,
first range</t>
        </r>
      </text>
    </comment>
    <comment ref="L9" authorId="0" shapeId="0" xr:uid="{00000000-0006-0000-0100-000005000000}">
      <text>
        <r>
          <rPr>
            <sz val="10"/>
            <color rgb="FF000000"/>
            <rFont val="Arial"/>
            <family val="2"/>
            <scheme val="minor"/>
          </rPr>
          <t>TAC of indicator</t>
        </r>
      </text>
    </comment>
    <comment ref="S9" authorId="0" shapeId="0" xr:uid="{00000000-0006-0000-0100-000006000000}">
      <text>
        <r>
          <rPr>
            <sz val="10"/>
            <color rgb="FF000000"/>
            <rFont val="Arial"/>
            <family val="2"/>
            <scheme val="minor"/>
          </rPr>
          <t>aufzubringede Last etwa</t>
        </r>
      </text>
    </comment>
    <comment ref="D10" authorId="0" shapeId="0" xr:uid="{00000000-0006-0000-0100-000007000000}">
      <text>
        <r>
          <rPr>
            <sz val="10"/>
            <color rgb="FF000000"/>
            <rFont val="Arial"/>
            <family val="2"/>
            <scheme val="minor"/>
          </rPr>
          <t>Maximum load,
second range</t>
        </r>
      </text>
    </comment>
    <comment ref="L10" authorId="0" shapeId="0" xr:uid="{00000000-0006-0000-0100-000008000000}">
      <text>
        <r>
          <rPr>
            <sz val="10"/>
            <color rgb="FF000000"/>
            <rFont val="Arial"/>
            <family val="2"/>
            <scheme val="minor"/>
          </rPr>
          <t>Software of indicator</t>
        </r>
      </text>
    </comment>
    <comment ref="D11" authorId="0" shapeId="0" xr:uid="{00000000-0006-0000-0100-000009000000}">
      <text>
        <r>
          <rPr>
            <sz val="10"/>
            <color rgb="FF000000"/>
            <rFont val="Arial"/>
            <family val="2"/>
            <scheme val="minor"/>
          </rPr>
          <t>Calibration value,
first range</t>
        </r>
      </text>
    </comment>
    <comment ref="D12" authorId="0" shapeId="0" xr:uid="{00000000-0006-0000-0100-00000A000000}">
      <text>
        <r>
          <rPr>
            <sz val="10"/>
            <color rgb="FF000000"/>
            <rFont val="Arial"/>
            <family val="2"/>
            <scheme val="minor"/>
          </rPr>
          <t>Calibration value,
second range</t>
        </r>
      </text>
    </comment>
    <comment ref="L12" authorId="0" shapeId="0" xr:uid="{00000000-0006-0000-0100-00000B000000}">
      <text>
        <r>
          <rPr>
            <sz val="10"/>
            <color rgb="FF000000"/>
            <rFont val="Arial"/>
            <family val="2"/>
            <scheme val="minor"/>
          </rPr>
          <t>No. Test weight sets</t>
        </r>
      </text>
    </comment>
    <comment ref="S13" authorId="0" shapeId="0" xr:uid="{00000000-0006-0000-0100-00000C000000}">
      <text>
        <r>
          <rPr>
            <sz val="10"/>
            <color rgb="FF000000"/>
            <rFont val="Arial"/>
            <family val="2"/>
            <scheme val="minor"/>
          </rPr>
          <t>Sample load must be about</t>
        </r>
      </text>
    </comment>
    <comment ref="P17" authorId="0" shapeId="0" xr:uid="{00000000-0006-0000-0100-00000D000000}">
      <text>
        <r>
          <rPr>
            <sz val="10"/>
            <color rgb="FF000000"/>
            <rFont val="Arial"/>
            <family val="2"/>
            <scheme val="minor"/>
          </rPr>
          <t>Quantity of load cells</t>
        </r>
      </text>
    </comment>
    <comment ref="S17" authorId="0" shapeId="0" xr:uid="{00000000-0006-0000-0100-00000E000000}">
      <text>
        <r>
          <rPr>
            <sz val="10"/>
            <color rgb="FF000000"/>
            <rFont val="Arial"/>
            <family val="2"/>
            <scheme val="minor"/>
          </rPr>
          <t>aufzubringede Last etwa</t>
        </r>
      </text>
    </comment>
    <comment ref="A23" authorId="0" shapeId="0" xr:uid="{00000000-0006-0000-0100-00000F000000}">
      <text>
        <r>
          <rPr>
            <sz val="10"/>
            <color rgb="FF000000"/>
            <rFont val="Arial"/>
            <family val="2"/>
            <scheme val="minor"/>
          </rPr>
          <t>Sample load must be about</t>
        </r>
      </text>
    </comment>
    <comment ref="D23" authorId="0" shapeId="0" xr:uid="{00000000-0006-0000-0100-000010000000}">
      <text>
        <r>
          <rPr>
            <sz val="10"/>
            <color rgb="FF000000"/>
            <rFont val="Arial"/>
            <family val="2"/>
            <scheme val="minor"/>
          </rPr>
          <t>actual Sample load</t>
        </r>
      </text>
    </comment>
    <comment ref="G23" authorId="0" shapeId="0" xr:uid="{00000000-0006-0000-0100-000011000000}">
      <text>
        <r>
          <rPr>
            <sz val="10"/>
            <color rgb="FF000000"/>
            <rFont val="Arial"/>
            <family val="2"/>
            <scheme val="minor"/>
          </rPr>
          <t>Indication</t>
        </r>
      </text>
    </comment>
    <comment ref="I23" authorId="0" shapeId="0" xr:uid="{00000000-0006-0000-0100-000012000000}">
      <text>
        <r>
          <rPr>
            <sz val="10"/>
            <color rgb="FF000000"/>
            <rFont val="Arial"/>
            <family val="2"/>
            <scheme val="minor"/>
          </rPr>
          <t>Indication error = I - L</t>
        </r>
      </text>
    </comment>
    <comment ref="K23" authorId="0" shapeId="0" xr:uid="{00000000-0006-0000-0100-000013000000}">
      <text>
        <r>
          <rPr>
            <sz val="10"/>
            <color rgb="FF000000"/>
            <rFont val="Arial"/>
            <family val="2"/>
            <scheme val="minor"/>
          </rPr>
          <t>max. permissible error</t>
        </r>
      </text>
    </comment>
    <comment ref="N23" authorId="0" shapeId="0" xr:uid="{00000000-0006-0000-0100-000014000000}">
      <text>
        <r>
          <rPr>
            <sz val="10"/>
            <color rgb="FF000000"/>
            <rFont val="Arial"/>
            <family val="2"/>
            <scheme val="minor"/>
          </rPr>
          <t>error in multiple of e</t>
        </r>
      </text>
    </comment>
    <comment ref="B25" authorId="0" shapeId="0" xr:uid="{00000000-0006-0000-0100-000015000000}">
      <text>
        <r>
          <rPr>
            <sz val="10"/>
            <color rgb="FF000000"/>
            <rFont val="Arial"/>
            <family val="2"/>
            <scheme val="minor"/>
          </rPr>
          <t>50% Max 1</t>
        </r>
      </text>
    </comment>
    <comment ref="E25" authorId="0" shapeId="0" xr:uid="{00000000-0006-0000-0100-000016000000}">
      <text>
        <r>
          <rPr>
            <sz val="10"/>
            <color rgb="FF000000"/>
            <rFont val="Arial"/>
            <family val="2"/>
            <scheme val="minor"/>
          </rPr>
          <t>~80% Max 1</t>
        </r>
      </text>
    </comment>
    <comment ref="G25" authorId="0" shapeId="0" xr:uid="{00000000-0006-0000-0100-000017000000}">
      <text>
        <r>
          <rPr>
            <sz val="10"/>
            <color rgb="FF000000"/>
            <rFont val="Arial"/>
            <family val="2"/>
            <scheme val="minor"/>
          </rPr>
          <t>indicated weight</t>
        </r>
      </text>
    </comment>
    <comment ref="B26" authorId="0" shapeId="0" xr:uid="{00000000-0006-0000-0100-000018000000}">
      <text>
        <r>
          <rPr>
            <sz val="10"/>
            <color rgb="FF000000"/>
            <rFont val="Arial"/>
            <family val="2"/>
            <scheme val="minor"/>
          </rPr>
          <t>50% Max 1</t>
        </r>
      </text>
    </comment>
    <comment ref="B27" authorId="0" shapeId="0" xr:uid="{00000000-0006-0000-0100-000019000000}">
      <text>
        <r>
          <rPr>
            <sz val="10"/>
            <color rgb="FF000000"/>
            <rFont val="Arial"/>
            <family val="2"/>
            <scheme val="minor"/>
          </rPr>
          <t>50% Max 1</t>
        </r>
      </text>
    </comment>
    <comment ref="B29" authorId="0" shapeId="0" xr:uid="{00000000-0006-0000-0100-00001A000000}">
      <text>
        <r>
          <rPr>
            <sz val="10"/>
            <color rgb="FF000000"/>
            <rFont val="Arial"/>
            <family val="2"/>
            <scheme val="minor"/>
          </rPr>
          <t>50% Max 2</t>
        </r>
      </text>
    </comment>
    <comment ref="E29" authorId="0" shapeId="0" xr:uid="{00000000-0006-0000-0100-00001B000000}">
      <text>
        <r>
          <rPr>
            <sz val="10"/>
            <color rgb="FF000000"/>
            <rFont val="Arial"/>
            <family val="2"/>
            <scheme val="minor"/>
          </rPr>
          <t>~80% Max 2</t>
        </r>
      </text>
    </comment>
    <comment ref="G29" authorId="0" shapeId="0" xr:uid="{00000000-0006-0000-0100-00001C000000}">
      <text>
        <r>
          <rPr>
            <sz val="10"/>
            <color rgb="FF000000"/>
            <rFont val="Arial"/>
            <family val="2"/>
            <scheme val="minor"/>
          </rPr>
          <t>indicated weight</t>
        </r>
      </text>
    </comment>
    <comment ref="B30" authorId="0" shapeId="0" xr:uid="{00000000-0006-0000-0100-00001D000000}">
      <text>
        <r>
          <rPr>
            <sz val="10"/>
            <color rgb="FF000000"/>
            <rFont val="Arial"/>
            <family val="2"/>
            <scheme val="minor"/>
          </rPr>
          <t>50% Max 2</t>
        </r>
      </text>
    </comment>
    <comment ref="B31" authorId="0" shapeId="0" xr:uid="{00000000-0006-0000-0100-00001E000000}">
      <text>
        <r>
          <rPr>
            <sz val="10"/>
            <color rgb="FF000000"/>
            <rFont val="Arial"/>
            <family val="2"/>
            <scheme val="minor"/>
          </rPr>
          <t>50% Max 2</t>
        </r>
      </text>
    </comment>
    <comment ref="A37" authorId="0" shapeId="0" xr:uid="{00000000-0006-0000-0100-00001F000000}">
      <text>
        <r>
          <rPr>
            <sz val="10"/>
            <color rgb="FF000000"/>
            <rFont val="Arial"/>
            <family val="2"/>
            <scheme val="minor"/>
          </rPr>
          <t>added load until the indication increases to 1e</t>
        </r>
      </text>
    </comment>
    <comment ref="A44" authorId="0" shapeId="0" xr:uid="{00000000-0006-0000-0100-000020000000}">
      <text>
        <r>
          <rPr>
            <sz val="10"/>
            <color rgb="FF000000"/>
            <rFont val="Arial"/>
            <family val="2"/>
            <scheme val="minor"/>
          </rPr>
          <t>added load until the indication increases to 1e</t>
        </r>
      </text>
    </comment>
    <comment ref="A52" authorId="0" shapeId="0" xr:uid="{00000000-0006-0000-0100-000021000000}">
      <text>
        <r>
          <rPr>
            <sz val="10"/>
            <color rgb="FF000000"/>
            <rFont val="Arial"/>
            <family val="2"/>
            <scheme val="minor"/>
          </rPr>
          <t>Sample load must be about</t>
        </r>
      </text>
    </comment>
    <comment ref="D52" authorId="0" shapeId="0" xr:uid="{00000000-0006-0000-0100-000022000000}">
      <text>
        <r>
          <rPr>
            <sz val="10"/>
            <color rgb="FF000000"/>
            <rFont val="Arial"/>
            <family val="2"/>
            <scheme val="minor"/>
          </rPr>
          <t>actual Sample load</t>
        </r>
      </text>
    </comment>
    <comment ref="G52" authorId="0" shapeId="0" xr:uid="{00000000-0006-0000-0100-000023000000}">
      <text>
        <r>
          <rPr>
            <sz val="10"/>
            <color rgb="FF000000"/>
            <rFont val="Arial"/>
            <family val="2"/>
            <scheme val="minor"/>
          </rPr>
          <t>Indication</t>
        </r>
      </text>
    </comment>
    <comment ref="I52" authorId="0" shapeId="0" xr:uid="{00000000-0006-0000-0100-000024000000}">
      <text>
        <r>
          <rPr>
            <sz val="10"/>
            <color rgb="FF000000"/>
            <rFont val="Arial"/>
            <family val="2"/>
            <scheme val="minor"/>
          </rPr>
          <t>Indication error = I - L</t>
        </r>
      </text>
    </comment>
    <comment ref="K52" authorId="0" shapeId="0" xr:uid="{00000000-0006-0000-0100-000025000000}">
      <text>
        <r>
          <rPr>
            <sz val="10"/>
            <color rgb="FF000000"/>
            <rFont val="Arial"/>
            <family val="2"/>
            <scheme val="minor"/>
          </rPr>
          <t>max. permissible error</t>
        </r>
      </text>
    </comment>
    <comment ref="G54" authorId="0" shapeId="0" xr:uid="{00000000-0006-0000-0100-000026000000}">
      <text>
        <r>
          <rPr>
            <sz val="10"/>
            <color rgb="FF000000"/>
            <rFont val="Arial"/>
            <family val="2"/>
            <scheme val="minor"/>
          </rPr>
          <t>indicated weight</t>
        </r>
      </text>
    </comment>
    <comment ref="G55" authorId="0" shapeId="0" xr:uid="{00000000-0006-0000-0100-000027000000}">
      <text>
        <r>
          <rPr>
            <sz val="10"/>
            <color rgb="FF000000"/>
            <rFont val="Arial"/>
            <family val="2"/>
            <scheme val="minor"/>
          </rPr>
          <t>indicated weight</t>
        </r>
      </text>
    </comment>
    <comment ref="G56" authorId="0" shapeId="0" xr:uid="{00000000-0006-0000-0100-000028000000}">
      <text>
        <r>
          <rPr>
            <sz val="10"/>
            <color rgb="FF000000"/>
            <rFont val="Arial"/>
            <family val="2"/>
            <scheme val="minor"/>
          </rPr>
          <t>indicated weight</t>
        </r>
      </text>
    </comment>
    <comment ref="G57" authorId="0" shapeId="0" xr:uid="{00000000-0006-0000-0100-000029000000}">
      <text>
        <r>
          <rPr>
            <sz val="10"/>
            <color rgb="FF000000"/>
            <rFont val="Arial"/>
            <family val="2"/>
            <scheme val="minor"/>
          </rPr>
          <t>indicated weight</t>
        </r>
      </text>
    </comment>
    <comment ref="G58" authorId="0" shapeId="0" xr:uid="{00000000-0006-0000-0100-00002A000000}">
      <text>
        <r>
          <rPr>
            <sz val="10"/>
            <color rgb="FF000000"/>
            <rFont val="Arial"/>
            <family val="2"/>
            <scheme val="minor"/>
          </rPr>
          <t>indicated weight</t>
        </r>
      </text>
    </comment>
    <comment ref="A59" authorId="0" shapeId="0" xr:uid="{00000000-0006-0000-0100-00002B000000}">
      <text>
        <r>
          <rPr>
            <sz val="10"/>
            <color rgb="FF000000"/>
            <rFont val="Arial"/>
            <family val="2"/>
            <scheme val="minor"/>
          </rPr>
          <t>please insert [e] between "A42" and "A45"</t>
        </r>
      </text>
    </comment>
    <comment ref="D59" authorId="0" shapeId="0" xr:uid="{00000000-0006-0000-0100-00002C000000}">
      <text>
        <r>
          <rPr>
            <sz val="10"/>
            <color rgb="FF000000"/>
            <rFont val="Arial"/>
            <family val="2"/>
            <scheme val="minor"/>
          </rPr>
          <t>please insert [e] between "A42" and "A45"</t>
        </r>
      </text>
    </comment>
    <comment ref="G59" authorId="0" shapeId="0" xr:uid="{00000000-0006-0000-0100-00002D000000}">
      <text>
        <r>
          <rPr>
            <sz val="10"/>
            <color rgb="FF000000"/>
            <rFont val="Arial"/>
            <family val="2"/>
            <scheme val="minor"/>
          </rPr>
          <t>indicated weight</t>
        </r>
      </text>
    </comment>
    <comment ref="A60" authorId="0" shapeId="0" xr:uid="{00000000-0006-0000-0100-00002E000000}">
      <text>
        <r>
          <rPr>
            <sz val="10"/>
            <color rgb="FF000000"/>
            <rFont val="Arial"/>
            <family val="2"/>
            <scheme val="minor"/>
          </rPr>
          <t>please insert [e] between "A42" and "A45"</t>
        </r>
      </text>
    </comment>
    <comment ref="D60" authorId="0" shapeId="0" xr:uid="{00000000-0006-0000-0100-00002F000000}">
      <text>
        <r>
          <rPr>
            <sz val="10"/>
            <color rgb="FF000000"/>
            <rFont val="Arial"/>
            <family val="2"/>
            <scheme val="minor"/>
          </rPr>
          <t>please insert [e] between "A42" and "A45"</t>
        </r>
      </text>
    </comment>
    <comment ref="G60" authorId="0" shapeId="0" xr:uid="{00000000-0006-0000-0100-000030000000}">
      <text>
        <r>
          <rPr>
            <sz val="10"/>
            <color rgb="FF000000"/>
            <rFont val="Arial"/>
            <family val="2"/>
            <scheme val="minor"/>
          </rPr>
          <t>indicated weight</t>
        </r>
      </text>
    </comment>
    <comment ref="G61" authorId="0" shapeId="0" xr:uid="{00000000-0006-0000-0100-000031000000}">
      <text>
        <r>
          <rPr>
            <sz val="10"/>
            <color rgb="FF000000"/>
            <rFont val="Arial"/>
            <family val="2"/>
            <scheme val="minor"/>
          </rPr>
          <t>indicated weight</t>
        </r>
      </text>
    </comment>
    <comment ref="G62" authorId="0" shapeId="0" xr:uid="{00000000-0006-0000-0100-000032000000}">
      <text>
        <r>
          <rPr>
            <sz val="10"/>
            <color rgb="FF000000"/>
            <rFont val="Arial"/>
            <family val="2"/>
            <scheme val="minor"/>
          </rPr>
          <t>indicated weight</t>
        </r>
      </text>
    </comment>
    <comment ref="G63" authorId="0" shapeId="0" xr:uid="{00000000-0006-0000-0100-000033000000}">
      <text>
        <r>
          <rPr>
            <sz val="10"/>
            <color rgb="FF000000"/>
            <rFont val="Arial"/>
            <family val="2"/>
            <scheme val="minor"/>
          </rPr>
          <t>indicated weight</t>
        </r>
      </text>
    </comment>
    <comment ref="G64" authorId="0" shapeId="0" xr:uid="{00000000-0006-0000-0100-000034000000}">
      <text>
        <r>
          <rPr>
            <sz val="10"/>
            <color rgb="FF000000"/>
            <rFont val="Arial"/>
            <family val="2"/>
            <scheme val="minor"/>
          </rPr>
          <t>indicated weight</t>
        </r>
      </text>
    </comment>
    <comment ref="G65" authorId="0" shapeId="0" xr:uid="{00000000-0006-0000-0100-000035000000}">
      <text>
        <r>
          <rPr>
            <sz val="10"/>
            <color rgb="FF000000"/>
            <rFont val="Arial"/>
            <family val="2"/>
            <scheme val="minor"/>
          </rPr>
          <t>indicated weight</t>
        </r>
      </text>
    </comment>
    <comment ref="G66" authorId="0" shapeId="0" xr:uid="{00000000-0006-0000-0100-000036000000}">
      <text>
        <r>
          <rPr>
            <sz val="10"/>
            <color rgb="FF000000"/>
            <rFont val="Arial"/>
            <family val="2"/>
            <scheme val="minor"/>
          </rPr>
          <t>indicated weight</t>
        </r>
      </text>
    </comment>
    <comment ref="G67" authorId="0" shapeId="0" xr:uid="{00000000-0006-0000-0100-000037000000}">
      <text>
        <r>
          <rPr>
            <sz val="10"/>
            <color rgb="FF000000"/>
            <rFont val="Arial"/>
            <family val="2"/>
            <scheme val="minor"/>
          </rPr>
          <t>indicated weight</t>
        </r>
      </text>
    </comment>
    <comment ref="G68" authorId="0" shapeId="0" xr:uid="{00000000-0006-0000-0100-000038000000}">
      <text>
        <r>
          <rPr>
            <sz val="10"/>
            <color rgb="FF000000"/>
            <rFont val="Arial"/>
            <family val="2"/>
            <scheme val="minor"/>
          </rPr>
          <t>indicated weight</t>
        </r>
      </text>
    </comment>
    <comment ref="A79" authorId="0" shapeId="0" xr:uid="{00000000-0006-0000-0100-000039000000}">
      <text>
        <r>
          <rPr>
            <sz val="10"/>
            <color rgb="FF000000"/>
            <rFont val="Arial"/>
            <family val="2"/>
            <scheme val="minor"/>
          </rPr>
          <t>applied load after taring</t>
        </r>
      </text>
    </comment>
    <comment ref="E79" authorId="0" shapeId="0" xr:uid="{00000000-0006-0000-0100-00003A000000}">
      <text>
        <r>
          <rPr>
            <sz val="10"/>
            <color rgb="FF000000"/>
            <rFont val="Arial"/>
            <family val="2"/>
            <scheme val="minor"/>
          </rPr>
          <t xml:space="preserve">Indicated weight
</t>
        </r>
      </text>
    </comment>
    <comment ref="Q108" authorId="0" shapeId="0" xr:uid="{00000000-0006-0000-0100-00003B000000}">
      <text>
        <r>
          <rPr>
            <sz val="10"/>
            <color rgb="FF000000"/>
            <rFont val="Arial"/>
            <family val="2"/>
            <scheme val="minor"/>
          </rPr>
          <t>weighing belt only with 4 areas</t>
        </r>
      </text>
    </comment>
    <comment ref="A110" authorId="0" shapeId="0" xr:uid="{00000000-0006-0000-0100-00003C000000}">
      <text>
        <r>
          <rPr>
            <sz val="10"/>
            <color rgb="FF000000"/>
            <rFont val="Arial"/>
            <family val="2"/>
            <scheme val="minor"/>
          </rPr>
          <t>when n&lt;=4 points of support:  L~1/3Max1; 
otherwise:  L~Max1/(n-1)</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L6" authorId="0" shapeId="0" xr:uid="{00000000-0006-0000-0200-000001000000}">
      <text>
        <r>
          <rPr>
            <sz val="10"/>
            <color rgb="FF000000"/>
            <rFont val="Arial"/>
            <family val="2"/>
            <scheme val="minor"/>
          </rPr>
          <t>RVO-No., name</t>
        </r>
      </text>
    </comment>
    <comment ref="S6" authorId="0" shapeId="0" xr:uid="{00000000-0006-0000-0200-000002000000}">
      <text>
        <r>
          <rPr>
            <sz val="10"/>
            <color rgb="FF000000"/>
            <rFont val="Arial"/>
            <family val="2"/>
            <scheme val="minor"/>
          </rPr>
          <t>Sample load must be about</t>
        </r>
      </text>
    </comment>
    <comment ref="L7" authorId="0" shapeId="0" xr:uid="{00000000-0006-0000-0200-000003000000}">
      <text>
        <r>
          <rPr>
            <sz val="10"/>
            <color rgb="FF000000"/>
            <rFont val="Arial"/>
            <family val="2"/>
            <scheme val="minor"/>
          </rPr>
          <t>Scale No (SCnnnn-nn-nn-nn)</t>
        </r>
      </text>
    </comment>
    <comment ref="L8" authorId="0" shapeId="0" xr:uid="{50A92CF0-2C8D-4886-8A62-D81C9136F3DE}">
      <text>
        <r>
          <rPr>
            <sz val="10"/>
            <color rgb="FF000000"/>
            <rFont val="Arial"/>
            <family val="2"/>
            <scheme val="minor"/>
          </rPr>
          <t>Serial-No. of indicator</t>
        </r>
      </text>
    </comment>
    <comment ref="D9" authorId="0" shapeId="0" xr:uid="{00000000-0006-0000-0200-000004000000}">
      <text>
        <r>
          <rPr>
            <sz val="10"/>
            <color rgb="FF000000"/>
            <rFont val="Arial"/>
            <family val="2"/>
            <scheme val="minor"/>
          </rPr>
          <t>Maximum load,
first range</t>
        </r>
      </text>
    </comment>
    <comment ref="L9" authorId="0" shapeId="0" xr:uid="{00000000-0006-0000-0200-000005000000}">
      <text>
        <r>
          <rPr>
            <sz val="10"/>
            <color rgb="FF000000"/>
            <rFont val="Arial"/>
            <family val="2"/>
            <scheme val="minor"/>
          </rPr>
          <t>TAC of indicator</t>
        </r>
      </text>
    </comment>
    <comment ref="S9" authorId="0" shapeId="0" xr:uid="{00000000-0006-0000-0200-000006000000}">
      <text>
        <r>
          <rPr>
            <sz val="10"/>
            <color rgb="FF000000"/>
            <rFont val="Arial"/>
            <family val="2"/>
            <scheme val="minor"/>
          </rPr>
          <t>aufzubringede Last etwa</t>
        </r>
      </text>
    </comment>
    <comment ref="D10" authorId="0" shapeId="0" xr:uid="{00000000-0006-0000-0200-000007000000}">
      <text>
        <r>
          <rPr>
            <sz val="10"/>
            <color rgb="FF000000"/>
            <rFont val="Arial"/>
            <family val="2"/>
            <scheme val="minor"/>
          </rPr>
          <t>Maximum load,
second range</t>
        </r>
      </text>
    </comment>
    <comment ref="L10" authorId="0" shapeId="0" xr:uid="{00000000-0006-0000-0200-000008000000}">
      <text>
        <r>
          <rPr>
            <sz val="10"/>
            <color rgb="FF000000"/>
            <rFont val="Arial"/>
            <family val="2"/>
            <scheme val="minor"/>
          </rPr>
          <t>Software of indicator</t>
        </r>
      </text>
    </comment>
    <comment ref="D11" authorId="0" shapeId="0" xr:uid="{00000000-0006-0000-0200-000009000000}">
      <text>
        <r>
          <rPr>
            <sz val="10"/>
            <color rgb="FF000000"/>
            <rFont val="Arial"/>
            <family val="2"/>
            <scheme val="minor"/>
          </rPr>
          <t>Calibration value,
first range</t>
        </r>
      </text>
    </comment>
    <comment ref="D12" authorId="0" shapeId="0" xr:uid="{00000000-0006-0000-0200-00000A000000}">
      <text>
        <r>
          <rPr>
            <sz val="10"/>
            <color rgb="FF000000"/>
            <rFont val="Arial"/>
            <family val="2"/>
            <scheme val="minor"/>
          </rPr>
          <t>Calibration value,
second range</t>
        </r>
      </text>
    </comment>
    <comment ref="L12" authorId="0" shapeId="0" xr:uid="{00000000-0006-0000-0200-00000B000000}">
      <text>
        <r>
          <rPr>
            <sz val="10"/>
            <color rgb="FF000000"/>
            <rFont val="Arial"/>
            <family val="2"/>
            <scheme val="minor"/>
          </rPr>
          <t>No. Test weight sets</t>
        </r>
      </text>
    </comment>
    <comment ref="S13" authorId="0" shapeId="0" xr:uid="{00000000-0006-0000-0200-00000C000000}">
      <text>
        <r>
          <rPr>
            <sz val="10"/>
            <color rgb="FF000000"/>
            <rFont val="Arial"/>
            <family val="2"/>
            <scheme val="minor"/>
          </rPr>
          <t>Sample load must be about</t>
        </r>
      </text>
    </comment>
    <comment ref="P17" authorId="0" shapeId="0" xr:uid="{00000000-0006-0000-0200-00000D000000}">
      <text>
        <r>
          <rPr>
            <sz val="10"/>
            <color rgb="FF000000"/>
            <rFont val="Arial"/>
            <family val="2"/>
            <scheme val="minor"/>
          </rPr>
          <t>Quantity of load cells</t>
        </r>
      </text>
    </comment>
    <comment ref="S17" authorId="0" shapeId="0" xr:uid="{00000000-0006-0000-0200-00000E000000}">
      <text>
        <r>
          <rPr>
            <sz val="10"/>
            <color rgb="FF000000"/>
            <rFont val="Arial"/>
            <family val="2"/>
            <scheme val="minor"/>
          </rPr>
          <t>aufzubringede Last etwa</t>
        </r>
      </text>
    </comment>
    <comment ref="A23" authorId="0" shapeId="0" xr:uid="{00000000-0006-0000-0200-00000F000000}">
      <text>
        <r>
          <rPr>
            <sz val="10"/>
            <color rgb="FF000000"/>
            <rFont val="Arial"/>
            <family val="2"/>
            <scheme val="minor"/>
          </rPr>
          <t>Sample load must be about</t>
        </r>
      </text>
    </comment>
    <comment ref="D23" authorId="0" shapeId="0" xr:uid="{00000000-0006-0000-0200-000010000000}">
      <text>
        <r>
          <rPr>
            <sz val="10"/>
            <color rgb="FF000000"/>
            <rFont val="Arial"/>
            <family val="2"/>
            <scheme val="minor"/>
          </rPr>
          <t>actual Sample load</t>
        </r>
      </text>
    </comment>
    <comment ref="G23" authorId="0" shapeId="0" xr:uid="{00000000-0006-0000-0200-000011000000}">
      <text>
        <r>
          <rPr>
            <sz val="10"/>
            <color rgb="FF000000"/>
            <rFont val="Arial"/>
            <family val="2"/>
            <scheme val="minor"/>
          </rPr>
          <t>Indication</t>
        </r>
      </text>
    </comment>
    <comment ref="I23" authorId="0" shapeId="0" xr:uid="{00000000-0006-0000-0200-000012000000}">
      <text>
        <r>
          <rPr>
            <sz val="10"/>
            <color rgb="FF000000"/>
            <rFont val="Arial"/>
            <family val="2"/>
            <scheme val="minor"/>
          </rPr>
          <t>Indication error = I - L</t>
        </r>
      </text>
    </comment>
    <comment ref="K23" authorId="0" shapeId="0" xr:uid="{00000000-0006-0000-0200-000013000000}">
      <text>
        <r>
          <rPr>
            <sz val="10"/>
            <color rgb="FF000000"/>
            <rFont val="Arial"/>
            <family val="2"/>
            <scheme val="minor"/>
          </rPr>
          <t>max. permissible error</t>
        </r>
      </text>
    </comment>
    <comment ref="N23" authorId="0" shapeId="0" xr:uid="{00000000-0006-0000-0200-000014000000}">
      <text>
        <r>
          <rPr>
            <sz val="10"/>
            <color rgb="FF000000"/>
            <rFont val="Arial"/>
            <family val="2"/>
            <scheme val="minor"/>
          </rPr>
          <t>error in multiple of e</t>
        </r>
      </text>
    </comment>
    <comment ref="B25" authorId="0" shapeId="0" xr:uid="{00000000-0006-0000-0200-000015000000}">
      <text>
        <r>
          <rPr>
            <sz val="10"/>
            <color rgb="FF000000"/>
            <rFont val="Arial"/>
            <family val="2"/>
            <scheme val="minor"/>
          </rPr>
          <t>50% Max 1</t>
        </r>
      </text>
    </comment>
    <comment ref="E25" authorId="0" shapeId="0" xr:uid="{00000000-0006-0000-0200-000016000000}">
      <text>
        <r>
          <rPr>
            <sz val="10"/>
            <color rgb="FF000000"/>
            <rFont val="Arial"/>
            <family val="2"/>
            <scheme val="minor"/>
          </rPr>
          <t>~80% Max 1</t>
        </r>
      </text>
    </comment>
    <comment ref="G25" authorId="0" shapeId="0" xr:uid="{00000000-0006-0000-0200-000017000000}">
      <text>
        <r>
          <rPr>
            <sz val="10"/>
            <color rgb="FF000000"/>
            <rFont val="Arial"/>
            <family val="2"/>
            <scheme val="minor"/>
          </rPr>
          <t>indicated weight</t>
        </r>
      </text>
    </comment>
    <comment ref="B26" authorId="0" shapeId="0" xr:uid="{00000000-0006-0000-0200-000018000000}">
      <text>
        <r>
          <rPr>
            <sz val="10"/>
            <color rgb="FF000000"/>
            <rFont val="Arial"/>
            <family val="2"/>
            <scheme val="minor"/>
          </rPr>
          <t>50% Max 1</t>
        </r>
      </text>
    </comment>
    <comment ref="B27" authorId="0" shapeId="0" xr:uid="{00000000-0006-0000-0200-000019000000}">
      <text>
        <r>
          <rPr>
            <sz val="10"/>
            <color rgb="FF000000"/>
            <rFont val="Arial"/>
            <family val="2"/>
            <scheme val="minor"/>
          </rPr>
          <t>50% Max 1</t>
        </r>
      </text>
    </comment>
    <comment ref="B29" authorId="0" shapeId="0" xr:uid="{00000000-0006-0000-0200-00001A000000}">
      <text>
        <r>
          <rPr>
            <sz val="10"/>
            <color rgb="FF000000"/>
            <rFont val="Arial"/>
            <family val="2"/>
            <scheme val="minor"/>
          </rPr>
          <t>50% Max 2</t>
        </r>
      </text>
    </comment>
    <comment ref="E29" authorId="0" shapeId="0" xr:uid="{00000000-0006-0000-0200-00001B000000}">
      <text>
        <r>
          <rPr>
            <sz val="10"/>
            <color rgb="FF000000"/>
            <rFont val="Arial"/>
            <family val="2"/>
            <scheme val="minor"/>
          </rPr>
          <t>~80% Max 2</t>
        </r>
      </text>
    </comment>
    <comment ref="G29" authorId="0" shapeId="0" xr:uid="{00000000-0006-0000-0200-00001C000000}">
      <text>
        <r>
          <rPr>
            <sz val="10"/>
            <color rgb="FF000000"/>
            <rFont val="Arial"/>
            <family val="2"/>
            <scheme val="minor"/>
          </rPr>
          <t>indicated weight</t>
        </r>
      </text>
    </comment>
    <comment ref="B30" authorId="0" shapeId="0" xr:uid="{00000000-0006-0000-0200-00001D000000}">
      <text>
        <r>
          <rPr>
            <sz val="10"/>
            <color rgb="FF000000"/>
            <rFont val="Arial"/>
            <family val="2"/>
            <scheme val="minor"/>
          </rPr>
          <t>50% Max 2</t>
        </r>
      </text>
    </comment>
    <comment ref="B31" authorId="0" shapeId="0" xr:uid="{00000000-0006-0000-0200-00001E000000}">
      <text>
        <r>
          <rPr>
            <sz val="10"/>
            <color rgb="FF000000"/>
            <rFont val="Arial"/>
            <family val="2"/>
            <scheme val="minor"/>
          </rPr>
          <t>50% Max 2</t>
        </r>
      </text>
    </comment>
    <comment ref="A37" authorId="0" shapeId="0" xr:uid="{00000000-0006-0000-0200-00001F000000}">
      <text>
        <r>
          <rPr>
            <sz val="10"/>
            <color rgb="FF000000"/>
            <rFont val="Arial"/>
            <family val="2"/>
            <scheme val="minor"/>
          </rPr>
          <t>added load until the indication increases to 1e</t>
        </r>
      </text>
    </comment>
    <comment ref="A44" authorId="0" shapeId="0" xr:uid="{00000000-0006-0000-0200-000020000000}">
      <text>
        <r>
          <rPr>
            <sz val="10"/>
            <color rgb="FF000000"/>
            <rFont val="Arial"/>
            <family val="2"/>
            <scheme val="minor"/>
          </rPr>
          <t>added load until the indication increases to 1e</t>
        </r>
      </text>
    </comment>
    <comment ref="A52" authorId="0" shapeId="0" xr:uid="{00000000-0006-0000-0200-000021000000}">
      <text>
        <r>
          <rPr>
            <sz val="10"/>
            <color rgb="FF000000"/>
            <rFont val="Arial"/>
            <family val="2"/>
            <scheme val="minor"/>
          </rPr>
          <t>Sample load must be about</t>
        </r>
      </text>
    </comment>
    <comment ref="D52" authorId="0" shapeId="0" xr:uid="{00000000-0006-0000-0200-000022000000}">
      <text>
        <r>
          <rPr>
            <sz val="10"/>
            <color rgb="FF000000"/>
            <rFont val="Arial"/>
            <family val="2"/>
            <scheme val="minor"/>
          </rPr>
          <t>actual Sample load</t>
        </r>
      </text>
    </comment>
    <comment ref="G52" authorId="0" shapeId="0" xr:uid="{00000000-0006-0000-0200-000023000000}">
      <text>
        <r>
          <rPr>
            <sz val="10"/>
            <color rgb="FF000000"/>
            <rFont val="Arial"/>
            <family val="2"/>
            <scheme val="minor"/>
          </rPr>
          <t>Indication</t>
        </r>
      </text>
    </comment>
    <comment ref="I52" authorId="0" shapeId="0" xr:uid="{00000000-0006-0000-0200-000024000000}">
      <text>
        <r>
          <rPr>
            <sz val="10"/>
            <color rgb="FF000000"/>
            <rFont val="Arial"/>
            <family val="2"/>
            <scheme val="minor"/>
          </rPr>
          <t>Indication error = I - L</t>
        </r>
      </text>
    </comment>
    <comment ref="K52" authorId="0" shapeId="0" xr:uid="{00000000-0006-0000-0200-000025000000}">
      <text>
        <r>
          <rPr>
            <sz val="10"/>
            <color rgb="FF000000"/>
            <rFont val="Arial"/>
            <family val="2"/>
            <scheme val="minor"/>
          </rPr>
          <t>max. permissible error</t>
        </r>
      </text>
    </comment>
    <comment ref="G54" authorId="0" shapeId="0" xr:uid="{00000000-0006-0000-0200-000026000000}">
      <text>
        <r>
          <rPr>
            <sz val="10"/>
            <color rgb="FF000000"/>
            <rFont val="Arial"/>
            <family val="2"/>
            <scheme val="minor"/>
          </rPr>
          <t>indicated weight</t>
        </r>
      </text>
    </comment>
    <comment ref="G55" authorId="0" shapeId="0" xr:uid="{00000000-0006-0000-0200-000027000000}">
      <text>
        <r>
          <rPr>
            <sz val="10"/>
            <color rgb="FF000000"/>
            <rFont val="Arial"/>
            <family val="2"/>
            <scheme val="minor"/>
          </rPr>
          <t>indicated weight</t>
        </r>
      </text>
    </comment>
    <comment ref="G56" authorId="0" shapeId="0" xr:uid="{00000000-0006-0000-0200-000028000000}">
      <text>
        <r>
          <rPr>
            <sz val="10"/>
            <color rgb="FF000000"/>
            <rFont val="Arial"/>
            <family val="2"/>
            <scheme val="minor"/>
          </rPr>
          <t>indicated weight</t>
        </r>
      </text>
    </comment>
    <comment ref="G57" authorId="0" shapeId="0" xr:uid="{00000000-0006-0000-0200-000029000000}">
      <text>
        <r>
          <rPr>
            <sz val="10"/>
            <color rgb="FF000000"/>
            <rFont val="Arial"/>
            <family val="2"/>
            <scheme val="minor"/>
          </rPr>
          <t>indicated weight</t>
        </r>
      </text>
    </comment>
    <comment ref="G58" authorId="0" shapeId="0" xr:uid="{00000000-0006-0000-0200-00002A000000}">
      <text>
        <r>
          <rPr>
            <sz val="10"/>
            <color rgb="FF000000"/>
            <rFont val="Arial"/>
            <family val="2"/>
            <scheme val="minor"/>
          </rPr>
          <t>indicated weight</t>
        </r>
      </text>
    </comment>
    <comment ref="A59" authorId="0" shapeId="0" xr:uid="{00000000-0006-0000-0200-00002B000000}">
      <text>
        <r>
          <rPr>
            <sz val="10"/>
            <color rgb="FF000000"/>
            <rFont val="Arial"/>
            <family val="2"/>
            <scheme val="minor"/>
          </rPr>
          <t>please insert [e] between "A42" and "A45"</t>
        </r>
      </text>
    </comment>
    <comment ref="D59" authorId="0" shapeId="0" xr:uid="{00000000-0006-0000-0200-00002C000000}">
      <text>
        <r>
          <rPr>
            <sz val="10"/>
            <color rgb="FF000000"/>
            <rFont val="Arial"/>
            <family val="2"/>
            <scheme val="minor"/>
          </rPr>
          <t>please insert [e] between "A42" and "A45"</t>
        </r>
      </text>
    </comment>
    <comment ref="G59" authorId="0" shapeId="0" xr:uid="{00000000-0006-0000-0200-00002D000000}">
      <text>
        <r>
          <rPr>
            <sz val="10"/>
            <color rgb="FF000000"/>
            <rFont val="Arial"/>
            <family val="2"/>
            <scheme val="minor"/>
          </rPr>
          <t>indicated weight</t>
        </r>
      </text>
    </comment>
    <comment ref="A60" authorId="0" shapeId="0" xr:uid="{00000000-0006-0000-0200-00002E000000}">
      <text>
        <r>
          <rPr>
            <sz val="10"/>
            <color rgb="FF000000"/>
            <rFont val="Arial"/>
            <family val="2"/>
            <scheme val="minor"/>
          </rPr>
          <t>please insert [e] between "A42" and "A45"</t>
        </r>
      </text>
    </comment>
    <comment ref="D60" authorId="0" shapeId="0" xr:uid="{00000000-0006-0000-0200-00002F000000}">
      <text>
        <r>
          <rPr>
            <sz val="10"/>
            <color rgb="FF000000"/>
            <rFont val="Arial"/>
            <family val="2"/>
            <scheme val="minor"/>
          </rPr>
          <t>please insert [e] between "A42" and "A45"</t>
        </r>
      </text>
    </comment>
    <comment ref="G60" authorId="0" shapeId="0" xr:uid="{00000000-0006-0000-0200-000030000000}">
      <text>
        <r>
          <rPr>
            <sz val="10"/>
            <color rgb="FF000000"/>
            <rFont val="Arial"/>
            <family val="2"/>
            <scheme val="minor"/>
          </rPr>
          <t>indicated weight</t>
        </r>
      </text>
    </comment>
    <comment ref="G61" authorId="0" shapeId="0" xr:uid="{00000000-0006-0000-0200-000031000000}">
      <text>
        <r>
          <rPr>
            <sz val="10"/>
            <color rgb="FF000000"/>
            <rFont val="Arial"/>
            <family val="2"/>
            <scheme val="minor"/>
          </rPr>
          <t>indicated weight</t>
        </r>
      </text>
    </comment>
    <comment ref="G62" authorId="0" shapeId="0" xr:uid="{00000000-0006-0000-0200-000032000000}">
      <text>
        <r>
          <rPr>
            <sz val="10"/>
            <color rgb="FF000000"/>
            <rFont val="Arial"/>
            <family val="2"/>
            <scheme val="minor"/>
          </rPr>
          <t>indicated weight</t>
        </r>
      </text>
    </comment>
    <comment ref="G63" authorId="0" shapeId="0" xr:uid="{00000000-0006-0000-0200-000033000000}">
      <text>
        <r>
          <rPr>
            <sz val="10"/>
            <color rgb="FF000000"/>
            <rFont val="Arial"/>
            <family val="2"/>
            <scheme val="minor"/>
          </rPr>
          <t>indicated weight</t>
        </r>
      </text>
    </comment>
    <comment ref="G64" authorId="0" shapeId="0" xr:uid="{00000000-0006-0000-0200-000034000000}">
      <text>
        <r>
          <rPr>
            <sz val="10"/>
            <color rgb="FF000000"/>
            <rFont val="Arial"/>
            <family val="2"/>
            <scheme val="minor"/>
          </rPr>
          <t>indicated weight</t>
        </r>
      </text>
    </comment>
    <comment ref="G65" authorId="0" shapeId="0" xr:uid="{00000000-0006-0000-0200-000035000000}">
      <text>
        <r>
          <rPr>
            <sz val="10"/>
            <color rgb="FF000000"/>
            <rFont val="Arial"/>
            <family val="2"/>
            <scheme val="minor"/>
          </rPr>
          <t>indicated weight</t>
        </r>
      </text>
    </comment>
    <comment ref="G66" authorId="0" shapeId="0" xr:uid="{00000000-0006-0000-0200-000036000000}">
      <text>
        <r>
          <rPr>
            <sz val="10"/>
            <color rgb="FF000000"/>
            <rFont val="Arial"/>
            <family val="2"/>
            <scheme val="minor"/>
          </rPr>
          <t>indicated weight</t>
        </r>
      </text>
    </comment>
    <comment ref="G67" authorId="0" shapeId="0" xr:uid="{00000000-0006-0000-0200-000037000000}">
      <text>
        <r>
          <rPr>
            <sz val="10"/>
            <color rgb="FF000000"/>
            <rFont val="Arial"/>
            <family val="2"/>
            <scheme val="minor"/>
          </rPr>
          <t>indicated weight</t>
        </r>
      </text>
    </comment>
    <comment ref="G68" authorId="0" shapeId="0" xr:uid="{00000000-0006-0000-0200-000038000000}">
      <text>
        <r>
          <rPr>
            <sz val="10"/>
            <color rgb="FF000000"/>
            <rFont val="Arial"/>
            <family val="2"/>
            <scheme val="minor"/>
          </rPr>
          <t>indicated weight</t>
        </r>
      </text>
    </comment>
    <comment ref="A78" authorId="0" shapeId="0" xr:uid="{00000000-0006-0000-0200-000039000000}">
      <text>
        <r>
          <rPr>
            <sz val="10"/>
            <color rgb="FF000000"/>
            <rFont val="Arial"/>
            <family val="2"/>
            <scheme val="minor"/>
          </rPr>
          <t>applied load after taring</t>
        </r>
      </text>
    </comment>
    <comment ref="E78" authorId="0" shapeId="0" xr:uid="{00000000-0006-0000-0200-00003A000000}">
      <text>
        <r>
          <rPr>
            <sz val="10"/>
            <color rgb="FF000000"/>
            <rFont val="Arial"/>
            <family val="2"/>
            <scheme val="minor"/>
          </rPr>
          <t xml:space="preserve">Indicated weight
</t>
        </r>
      </text>
    </comment>
    <comment ref="A103" authorId="0" shapeId="0" xr:uid="{00000000-0006-0000-0200-00003B000000}">
      <text>
        <r>
          <rPr>
            <sz val="10"/>
            <color rgb="FF000000"/>
            <rFont val="Arial"/>
            <family val="2"/>
            <scheme val="minor"/>
          </rPr>
          <t>when n&lt;=4 points of support:  L~1/3Max1; 
otherwise:  L~Max1/(n-1)</t>
        </r>
      </text>
    </comment>
    <comment ref="K123" authorId="0" shapeId="0" xr:uid="{00000000-0006-0000-0200-00003C000000}">
      <text>
        <r>
          <rPr>
            <sz val="10"/>
            <color rgb="FF000000"/>
            <rFont val="Arial"/>
            <family val="2"/>
            <scheme val="minor"/>
          </rPr>
          <t>length / m</t>
        </r>
      </text>
    </comment>
    <comment ref="N123" authorId="0" shapeId="0" xr:uid="{00000000-0006-0000-0200-00003D000000}">
      <text>
        <r>
          <rPr>
            <sz val="10"/>
            <color rgb="FF000000"/>
            <rFont val="Arial"/>
            <family val="2"/>
            <scheme val="minor"/>
          </rPr>
          <t>width / m</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L6" authorId="0" shapeId="0" xr:uid="{00000000-0006-0000-0300-000001000000}">
      <text>
        <r>
          <rPr>
            <sz val="10"/>
            <color rgb="FF000000"/>
            <rFont val="Arial"/>
            <family val="2"/>
            <scheme val="minor"/>
          </rPr>
          <t>RVO-No., name</t>
        </r>
      </text>
    </comment>
    <comment ref="L7" authorId="0" shapeId="0" xr:uid="{00000000-0006-0000-0300-000002000000}">
      <text>
        <r>
          <rPr>
            <sz val="10"/>
            <color rgb="FF000000"/>
            <rFont val="Arial"/>
            <family val="2"/>
            <scheme val="minor"/>
          </rPr>
          <t>Scale No (SCnnnn-nn-nn-nn)</t>
        </r>
      </text>
    </comment>
    <comment ref="L8" authorId="0" shapeId="0" xr:uid="{3B38E41D-E16B-460A-9EEE-5FA933589E51}">
      <text>
        <r>
          <rPr>
            <sz val="10"/>
            <color rgb="FF000000"/>
            <rFont val="Arial"/>
            <family val="2"/>
            <scheme val="minor"/>
          </rPr>
          <t>Serial-No. of indicator</t>
        </r>
      </text>
    </comment>
    <comment ref="D9" authorId="0" shapeId="0" xr:uid="{00000000-0006-0000-0300-000003000000}">
      <text>
        <r>
          <rPr>
            <sz val="10"/>
            <color rgb="FF000000"/>
            <rFont val="Arial"/>
            <family val="2"/>
            <scheme val="minor"/>
          </rPr>
          <t>Maximum load</t>
        </r>
      </text>
    </comment>
    <comment ref="L9" authorId="0" shapeId="0" xr:uid="{00000000-0006-0000-0300-000004000000}">
      <text>
        <r>
          <rPr>
            <sz val="10"/>
            <color rgb="FF000000"/>
            <rFont val="Arial"/>
            <family val="2"/>
            <scheme val="minor"/>
          </rPr>
          <t>TAC of indicator</t>
        </r>
      </text>
    </comment>
    <comment ref="D10" authorId="0" shapeId="0" xr:uid="{00000000-0006-0000-0300-000005000000}">
      <text>
        <r>
          <rPr>
            <sz val="10"/>
            <color rgb="FF000000"/>
            <rFont val="Arial"/>
            <family val="2"/>
            <scheme val="minor"/>
          </rPr>
          <t>Calibration value</t>
        </r>
      </text>
    </comment>
    <comment ref="L10" authorId="0" shapeId="0" xr:uid="{00000000-0006-0000-0300-000006000000}">
      <text>
        <r>
          <rPr>
            <sz val="10"/>
            <color rgb="FF000000"/>
            <rFont val="Arial"/>
            <family val="2"/>
            <scheme val="minor"/>
          </rPr>
          <t>Software of indicator</t>
        </r>
      </text>
    </comment>
    <comment ref="L12" authorId="0" shapeId="0" xr:uid="{00000000-0006-0000-0300-000007000000}">
      <text>
        <r>
          <rPr>
            <sz val="10"/>
            <color rgb="FF000000"/>
            <rFont val="Arial"/>
            <family val="2"/>
            <scheme val="minor"/>
          </rPr>
          <t>No. Test weight sets</t>
        </r>
      </text>
    </comment>
    <comment ref="P16" authorId="0" shapeId="0" xr:uid="{00000000-0006-0000-0300-000008000000}">
      <text>
        <r>
          <rPr>
            <sz val="10"/>
            <color rgb="FF000000"/>
            <rFont val="Arial"/>
            <family val="2"/>
            <scheme val="minor"/>
          </rPr>
          <t>Quantity of load cells</t>
        </r>
      </text>
    </comment>
    <comment ref="A20" authorId="0" shapeId="0" xr:uid="{00000000-0006-0000-0300-000009000000}">
      <text>
        <r>
          <rPr>
            <sz val="10"/>
            <color rgb="FF000000"/>
            <rFont val="Arial"/>
            <family val="2"/>
            <scheme val="minor"/>
          </rPr>
          <t>Sample load must be about</t>
        </r>
      </text>
    </comment>
    <comment ref="D20" authorId="0" shapeId="0" xr:uid="{00000000-0006-0000-0300-00000A000000}">
      <text>
        <r>
          <rPr>
            <sz val="10"/>
            <color rgb="FF000000"/>
            <rFont val="Arial"/>
            <family val="2"/>
            <scheme val="minor"/>
          </rPr>
          <t>actual Sample load</t>
        </r>
      </text>
    </comment>
    <comment ref="G20" authorId="0" shapeId="0" xr:uid="{00000000-0006-0000-0300-00000B000000}">
      <text>
        <r>
          <rPr>
            <sz val="10"/>
            <color rgb="FF000000"/>
            <rFont val="Arial"/>
            <family val="2"/>
            <scheme val="minor"/>
          </rPr>
          <t>Indication</t>
        </r>
      </text>
    </comment>
    <comment ref="I20" authorId="0" shapeId="0" xr:uid="{00000000-0006-0000-0300-00000C000000}">
      <text>
        <r>
          <rPr>
            <sz val="10"/>
            <color rgb="FF000000"/>
            <rFont val="Arial"/>
            <family val="2"/>
            <scheme val="minor"/>
          </rPr>
          <t>Indication error = I - L</t>
        </r>
      </text>
    </comment>
    <comment ref="K20" authorId="0" shapeId="0" xr:uid="{00000000-0006-0000-0300-00000D000000}">
      <text>
        <r>
          <rPr>
            <sz val="10"/>
            <color rgb="FF000000"/>
            <rFont val="Arial"/>
            <family val="2"/>
            <scheme val="minor"/>
          </rPr>
          <t>max. permissible error</t>
        </r>
      </text>
    </comment>
    <comment ref="B22" authorId="0" shapeId="0" xr:uid="{00000000-0006-0000-0300-00000E000000}">
      <text>
        <r>
          <rPr>
            <sz val="10"/>
            <color rgb="FF000000"/>
            <rFont val="Arial"/>
            <family val="2"/>
            <scheme val="minor"/>
          </rPr>
          <t>80%Max</t>
        </r>
      </text>
    </comment>
    <comment ref="E22" authorId="0" shapeId="0" xr:uid="{00000000-0006-0000-0300-00000F000000}">
      <text>
        <r>
          <rPr>
            <sz val="10"/>
            <color rgb="FF000000"/>
            <rFont val="Arial"/>
            <family val="2"/>
            <scheme val="minor"/>
          </rPr>
          <t>~80%Max</t>
        </r>
      </text>
    </comment>
    <comment ref="G22" authorId="0" shapeId="0" xr:uid="{00000000-0006-0000-0300-000010000000}">
      <text>
        <r>
          <rPr>
            <sz val="10"/>
            <color rgb="FF000000"/>
            <rFont val="Arial"/>
            <family val="2"/>
            <scheme val="minor"/>
          </rPr>
          <t>indicated weight</t>
        </r>
      </text>
    </comment>
    <comment ref="B23" authorId="0" shapeId="0" xr:uid="{00000000-0006-0000-0300-000011000000}">
      <text>
        <r>
          <rPr>
            <sz val="10"/>
            <color rgb="FF000000"/>
            <rFont val="Arial"/>
            <family val="2"/>
            <scheme val="minor"/>
          </rPr>
          <t>80%Max</t>
        </r>
      </text>
    </comment>
    <comment ref="E23" authorId="0" shapeId="0" xr:uid="{00000000-0006-0000-0300-000012000000}">
      <text>
        <r>
          <rPr>
            <sz val="10"/>
            <color rgb="FF000000"/>
            <rFont val="Arial"/>
            <family val="2"/>
            <scheme val="minor"/>
          </rPr>
          <t>~80%Max</t>
        </r>
      </text>
    </comment>
    <comment ref="B24" authorId="0" shapeId="0" xr:uid="{00000000-0006-0000-0300-000013000000}">
      <text>
        <r>
          <rPr>
            <sz val="10"/>
            <color rgb="FF000000"/>
            <rFont val="Arial"/>
            <family val="2"/>
            <scheme val="minor"/>
          </rPr>
          <t>80%Max</t>
        </r>
      </text>
    </comment>
    <comment ref="E24" authorId="0" shapeId="0" xr:uid="{00000000-0006-0000-0300-000014000000}">
      <text>
        <r>
          <rPr>
            <sz val="10"/>
            <color rgb="FF000000"/>
            <rFont val="Arial"/>
            <family val="2"/>
            <scheme val="minor"/>
          </rPr>
          <t>~80%Max</t>
        </r>
      </text>
    </comment>
    <comment ref="A29" authorId="0" shapeId="0" xr:uid="{00000000-0006-0000-0300-000015000000}">
      <text>
        <r>
          <rPr>
            <sz val="10"/>
            <color rgb="FF000000"/>
            <rFont val="Arial"/>
            <family val="2"/>
            <scheme val="minor"/>
          </rPr>
          <t>added load until the indication increases to 1e</t>
        </r>
      </text>
    </comment>
    <comment ref="A36" authorId="0" shapeId="0" xr:uid="{00000000-0006-0000-0300-000016000000}">
      <text>
        <r>
          <rPr>
            <sz val="10"/>
            <color rgb="FF000000"/>
            <rFont val="Arial"/>
            <family val="2"/>
            <scheme val="minor"/>
          </rPr>
          <t>added load until the indication increases to 1e</t>
        </r>
      </text>
    </comment>
    <comment ref="A43" authorId="0" shapeId="0" xr:uid="{00000000-0006-0000-0300-000017000000}">
      <text>
        <r>
          <rPr>
            <sz val="10"/>
            <color rgb="FF000000"/>
            <rFont val="Arial"/>
            <family val="2"/>
            <scheme val="minor"/>
          </rPr>
          <t>Sample load must be about</t>
        </r>
      </text>
    </comment>
    <comment ref="D43" authorId="0" shapeId="0" xr:uid="{00000000-0006-0000-0300-000018000000}">
      <text>
        <r>
          <rPr>
            <sz val="10"/>
            <color rgb="FF000000"/>
            <rFont val="Arial"/>
            <family val="2"/>
            <scheme val="minor"/>
          </rPr>
          <t>actual Sample load</t>
        </r>
      </text>
    </comment>
    <comment ref="G43" authorId="0" shapeId="0" xr:uid="{00000000-0006-0000-0300-000019000000}">
      <text>
        <r>
          <rPr>
            <sz val="10"/>
            <color rgb="FF000000"/>
            <rFont val="Arial"/>
            <family val="2"/>
            <scheme val="minor"/>
          </rPr>
          <t>Indication</t>
        </r>
      </text>
    </comment>
    <comment ref="I43" authorId="0" shapeId="0" xr:uid="{00000000-0006-0000-0300-00001A000000}">
      <text>
        <r>
          <rPr>
            <sz val="10"/>
            <color rgb="FF000000"/>
            <rFont val="Arial"/>
            <family val="2"/>
            <scheme val="minor"/>
          </rPr>
          <t>Indication error = I - L</t>
        </r>
      </text>
    </comment>
    <comment ref="K43" authorId="0" shapeId="0" xr:uid="{00000000-0006-0000-0300-00001B000000}">
      <text>
        <r>
          <rPr>
            <sz val="10"/>
            <color rgb="FF000000"/>
            <rFont val="Arial"/>
            <family val="2"/>
            <scheme val="minor"/>
          </rPr>
          <t>max. permissible error</t>
        </r>
      </text>
    </comment>
    <comment ref="G45" authorId="0" shapeId="0" xr:uid="{00000000-0006-0000-0300-00001C000000}">
      <text>
        <r>
          <rPr>
            <sz val="10"/>
            <color rgb="FF000000"/>
            <rFont val="Arial"/>
            <family val="2"/>
            <scheme val="minor"/>
          </rPr>
          <t>indicated weight</t>
        </r>
      </text>
    </comment>
    <comment ref="G46" authorId="0" shapeId="0" xr:uid="{00000000-0006-0000-0300-00001D000000}">
      <text>
        <r>
          <rPr>
            <sz val="10"/>
            <color rgb="FF000000"/>
            <rFont val="Arial"/>
            <family val="2"/>
            <scheme val="minor"/>
          </rPr>
          <t>indicated weight</t>
        </r>
      </text>
    </comment>
    <comment ref="G47" authorId="0" shapeId="0" xr:uid="{00000000-0006-0000-0300-00001E000000}">
      <text>
        <r>
          <rPr>
            <sz val="10"/>
            <color rgb="FF000000"/>
            <rFont val="Arial"/>
            <family val="2"/>
            <scheme val="minor"/>
          </rPr>
          <t>indicated weight</t>
        </r>
      </text>
    </comment>
    <comment ref="G48" authorId="0" shapeId="0" xr:uid="{00000000-0006-0000-0300-00001F000000}">
      <text>
        <r>
          <rPr>
            <sz val="10"/>
            <color rgb="FF000000"/>
            <rFont val="Arial"/>
            <family val="2"/>
            <scheme val="minor"/>
          </rPr>
          <t>indicated weight</t>
        </r>
      </text>
    </comment>
    <comment ref="G49" authorId="0" shapeId="0" xr:uid="{00000000-0006-0000-0300-000020000000}">
      <text>
        <r>
          <rPr>
            <sz val="10"/>
            <color rgb="FF000000"/>
            <rFont val="Arial"/>
            <family val="2"/>
            <scheme val="minor"/>
          </rPr>
          <t>indicated weight</t>
        </r>
      </text>
    </comment>
    <comment ref="G50" authorId="0" shapeId="0" xr:uid="{00000000-0006-0000-0300-000021000000}">
      <text>
        <r>
          <rPr>
            <sz val="10"/>
            <color rgb="FF000000"/>
            <rFont val="Arial"/>
            <family val="2"/>
            <scheme val="minor"/>
          </rPr>
          <t>indicated weight</t>
        </r>
      </text>
    </comment>
    <comment ref="G51" authorId="0" shapeId="0" xr:uid="{00000000-0006-0000-0300-000022000000}">
      <text>
        <r>
          <rPr>
            <sz val="10"/>
            <color rgb="FF000000"/>
            <rFont val="Arial"/>
            <family val="2"/>
            <scheme val="minor"/>
          </rPr>
          <t>indicated weight</t>
        </r>
      </text>
    </comment>
    <comment ref="G52" authorId="0" shapeId="0" xr:uid="{00000000-0006-0000-0300-000023000000}">
      <text>
        <r>
          <rPr>
            <sz val="10"/>
            <color rgb="FF000000"/>
            <rFont val="Arial"/>
            <family val="2"/>
            <scheme val="minor"/>
          </rPr>
          <t>indicated weight</t>
        </r>
      </text>
    </comment>
    <comment ref="G53" authorId="0" shapeId="0" xr:uid="{00000000-0006-0000-0300-000024000000}">
      <text>
        <r>
          <rPr>
            <sz val="10"/>
            <color rgb="FF000000"/>
            <rFont val="Arial"/>
            <family val="2"/>
            <scheme val="minor"/>
          </rPr>
          <t>indicated weight</t>
        </r>
      </text>
    </comment>
    <comment ref="A68" authorId="0" shapeId="0" xr:uid="{00000000-0006-0000-0300-000025000000}">
      <text>
        <r>
          <rPr>
            <sz val="10"/>
            <color rgb="FF000000"/>
            <rFont val="Arial"/>
            <family val="2"/>
            <scheme val="minor"/>
          </rPr>
          <t>applied load after taring</t>
        </r>
      </text>
    </comment>
    <comment ref="E68" authorId="0" shapeId="0" xr:uid="{00000000-0006-0000-0300-000026000000}">
      <text>
        <r>
          <rPr>
            <sz val="10"/>
            <color rgb="FF000000"/>
            <rFont val="Arial"/>
            <family val="2"/>
            <scheme val="minor"/>
          </rPr>
          <t xml:space="preserve">Indicated weight
</t>
        </r>
      </text>
    </comment>
    <comment ref="A90" authorId="0" shapeId="0" xr:uid="{00000000-0006-0000-0300-000027000000}">
      <text>
        <r>
          <rPr>
            <sz val="10"/>
            <color rgb="FF000000"/>
            <rFont val="Arial"/>
            <family val="2"/>
            <scheme val="minor"/>
          </rPr>
          <t>when n&lt;=4 points of support:  L~1/3Max; 
otherwise:  L~Max/(n-1)</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L6" authorId="0" shapeId="0" xr:uid="{00000000-0006-0000-0400-000001000000}">
      <text>
        <r>
          <rPr>
            <sz val="10"/>
            <color rgb="FF000000"/>
            <rFont val="Arial"/>
            <family val="2"/>
            <scheme val="minor"/>
          </rPr>
          <t>RVO-No., name</t>
        </r>
      </text>
    </comment>
    <comment ref="L7" authorId="0" shapeId="0" xr:uid="{00000000-0006-0000-0400-000002000000}">
      <text>
        <r>
          <rPr>
            <sz val="10"/>
            <color rgb="FF000000"/>
            <rFont val="Arial"/>
            <family val="2"/>
            <scheme val="minor"/>
          </rPr>
          <t>Scale No (SCnnnn-nn-nn-nn)</t>
        </r>
      </text>
    </comment>
    <comment ref="L8" authorId="0" shapeId="0" xr:uid="{687390D9-7532-462B-8373-42EC603C3C1A}">
      <text>
        <r>
          <rPr>
            <sz val="10"/>
            <color rgb="FF000000"/>
            <rFont val="Arial"/>
            <family val="2"/>
            <scheme val="minor"/>
          </rPr>
          <t>Serial-No. of indicator</t>
        </r>
      </text>
    </comment>
    <comment ref="D9" authorId="0" shapeId="0" xr:uid="{00000000-0006-0000-0400-000003000000}">
      <text>
        <r>
          <rPr>
            <sz val="10"/>
            <color rgb="FF000000"/>
            <rFont val="Arial"/>
            <family val="2"/>
            <scheme val="minor"/>
          </rPr>
          <t>Maximum load</t>
        </r>
      </text>
    </comment>
    <comment ref="L9" authorId="0" shapeId="0" xr:uid="{00000000-0006-0000-0400-000004000000}">
      <text>
        <r>
          <rPr>
            <sz val="10"/>
            <color rgb="FF000000"/>
            <rFont val="Arial"/>
            <family val="2"/>
            <scheme val="minor"/>
          </rPr>
          <t>TAC of indicator</t>
        </r>
      </text>
    </comment>
    <comment ref="D10" authorId="0" shapeId="0" xr:uid="{00000000-0006-0000-0400-000005000000}">
      <text>
        <r>
          <rPr>
            <sz val="10"/>
            <color rgb="FF000000"/>
            <rFont val="Arial"/>
            <family val="2"/>
            <scheme val="minor"/>
          </rPr>
          <t>Calibration value</t>
        </r>
      </text>
    </comment>
    <comment ref="L10" authorId="0" shapeId="0" xr:uid="{00000000-0006-0000-0400-000006000000}">
      <text>
        <r>
          <rPr>
            <sz val="10"/>
            <color rgb="FF000000"/>
            <rFont val="Arial"/>
            <family val="2"/>
            <scheme val="minor"/>
          </rPr>
          <t>Software of indicator</t>
        </r>
      </text>
    </comment>
    <comment ref="L12" authorId="0" shapeId="0" xr:uid="{00000000-0006-0000-0400-000007000000}">
      <text>
        <r>
          <rPr>
            <sz val="10"/>
            <color rgb="FF000000"/>
            <rFont val="Arial"/>
            <family val="2"/>
            <scheme val="minor"/>
          </rPr>
          <t>No. Test weight sets</t>
        </r>
      </text>
    </comment>
    <comment ref="P16" authorId="0" shapeId="0" xr:uid="{00000000-0006-0000-0400-000008000000}">
      <text>
        <r>
          <rPr>
            <sz val="10"/>
            <color rgb="FF000000"/>
            <rFont val="Arial"/>
            <family val="2"/>
            <scheme val="minor"/>
          </rPr>
          <t>Quantity of load cells</t>
        </r>
      </text>
    </comment>
    <comment ref="A27" authorId="0" shapeId="0" xr:uid="{00000000-0006-0000-0400-000009000000}">
      <text>
        <r>
          <rPr>
            <sz val="10"/>
            <color rgb="FF000000"/>
            <rFont val="Arial"/>
            <family val="2"/>
            <scheme val="minor"/>
          </rPr>
          <t>Sample load must be about</t>
        </r>
      </text>
    </comment>
    <comment ref="D27" authorId="0" shapeId="0" xr:uid="{00000000-0006-0000-0400-00000A000000}">
      <text>
        <r>
          <rPr>
            <sz val="10"/>
            <color rgb="FF000000"/>
            <rFont val="Arial"/>
            <family val="2"/>
            <scheme val="minor"/>
          </rPr>
          <t>actual Sample load</t>
        </r>
      </text>
    </comment>
    <comment ref="G27" authorId="0" shapeId="0" xr:uid="{00000000-0006-0000-0400-00000B000000}">
      <text>
        <r>
          <rPr>
            <sz val="10"/>
            <color rgb="FF000000"/>
            <rFont val="Arial"/>
            <family val="2"/>
            <scheme val="minor"/>
          </rPr>
          <t>Indication</t>
        </r>
      </text>
    </comment>
    <comment ref="I27" authorId="0" shapeId="0" xr:uid="{00000000-0006-0000-0400-00000C000000}">
      <text>
        <r>
          <rPr>
            <sz val="10"/>
            <color rgb="FF000000"/>
            <rFont val="Arial"/>
            <family val="2"/>
            <scheme val="minor"/>
          </rPr>
          <t>Indication error = I - L</t>
        </r>
      </text>
    </comment>
    <comment ref="K27" authorId="0" shapeId="0" xr:uid="{00000000-0006-0000-0400-00000D000000}">
      <text>
        <r>
          <rPr>
            <sz val="10"/>
            <color rgb="FF000000"/>
            <rFont val="Arial"/>
            <family val="2"/>
            <scheme val="minor"/>
          </rPr>
          <t>max. permissible error</t>
        </r>
      </text>
    </comment>
    <comment ref="B29" authorId="0" shapeId="0" xr:uid="{00000000-0006-0000-0400-00000E000000}">
      <text>
        <r>
          <rPr>
            <sz val="10"/>
            <color rgb="FF000000"/>
            <rFont val="Arial"/>
            <family val="2"/>
            <scheme val="minor"/>
          </rPr>
          <t>80%Max</t>
        </r>
      </text>
    </comment>
    <comment ref="E29" authorId="0" shapeId="0" xr:uid="{00000000-0006-0000-0400-00000F000000}">
      <text>
        <r>
          <rPr>
            <sz val="10"/>
            <color rgb="FF000000"/>
            <rFont val="Arial"/>
            <family val="2"/>
            <scheme val="minor"/>
          </rPr>
          <t>~80%Max</t>
        </r>
      </text>
    </comment>
    <comment ref="G29" authorId="0" shapeId="0" xr:uid="{00000000-0006-0000-0400-000010000000}">
      <text>
        <r>
          <rPr>
            <sz val="10"/>
            <color rgb="FF000000"/>
            <rFont val="Arial"/>
            <family val="2"/>
            <scheme val="minor"/>
          </rPr>
          <t>indicated weight</t>
        </r>
      </text>
    </comment>
    <comment ref="B30" authorId="0" shapeId="0" xr:uid="{00000000-0006-0000-0400-000011000000}">
      <text>
        <r>
          <rPr>
            <sz val="10"/>
            <color rgb="FF000000"/>
            <rFont val="Arial"/>
            <family val="2"/>
            <scheme val="minor"/>
          </rPr>
          <t>80%Max</t>
        </r>
      </text>
    </comment>
    <comment ref="E30" authorId="0" shapeId="0" xr:uid="{00000000-0006-0000-0400-000012000000}">
      <text>
        <r>
          <rPr>
            <sz val="10"/>
            <color rgb="FF000000"/>
            <rFont val="Arial"/>
            <family val="2"/>
            <scheme val="minor"/>
          </rPr>
          <t>~80%Max</t>
        </r>
      </text>
    </comment>
    <comment ref="B31" authorId="0" shapeId="0" xr:uid="{00000000-0006-0000-0400-000013000000}">
      <text>
        <r>
          <rPr>
            <sz val="10"/>
            <color rgb="FF000000"/>
            <rFont val="Arial"/>
            <family val="2"/>
            <scheme val="minor"/>
          </rPr>
          <t>80%Max</t>
        </r>
      </text>
    </comment>
    <comment ref="E31" authorId="0" shapeId="0" xr:uid="{00000000-0006-0000-0400-000014000000}">
      <text>
        <r>
          <rPr>
            <sz val="10"/>
            <color rgb="FF000000"/>
            <rFont val="Arial"/>
            <family val="2"/>
            <scheme val="minor"/>
          </rPr>
          <t>~80%Max</t>
        </r>
      </text>
    </comment>
    <comment ref="A36" authorId="0" shapeId="0" xr:uid="{00000000-0006-0000-0400-000015000000}">
      <text>
        <r>
          <rPr>
            <sz val="10"/>
            <color rgb="FF000000"/>
            <rFont val="Arial"/>
            <family val="2"/>
            <scheme val="minor"/>
          </rPr>
          <t>added load until the indication increases to 1e</t>
        </r>
      </text>
    </comment>
    <comment ref="A43" authorId="0" shapeId="0" xr:uid="{00000000-0006-0000-0400-000016000000}">
      <text>
        <r>
          <rPr>
            <sz val="10"/>
            <color rgb="FF000000"/>
            <rFont val="Arial"/>
            <family val="2"/>
            <scheme val="minor"/>
          </rPr>
          <t>added load until the indication increases to 1e</t>
        </r>
      </text>
    </comment>
    <comment ref="A50" authorId="0" shapeId="0" xr:uid="{00000000-0006-0000-0400-000017000000}">
      <text>
        <r>
          <rPr>
            <sz val="10"/>
            <color rgb="FF000000"/>
            <rFont val="Arial"/>
            <family val="2"/>
            <scheme val="minor"/>
          </rPr>
          <t>Sample load must be about</t>
        </r>
      </text>
    </comment>
    <comment ref="D50" authorId="0" shapeId="0" xr:uid="{00000000-0006-0000-0400-000018000000}">
      <text>
        <r>
          <rPr>
            <sz val="10"/>
            <color rgb="FF000000"/>
            <rFont val="Arial"/>
            <family val="2"/>
            <scheme val="minor"/>
          </rPr>
          <t>actual Sample load</t>
        </r>
      </text>
    </comment>
    <comment ref="G50" authorId="0" shapeId="0" xr:uid="{00000000-0006-0000-0400-000019000000}">
      <text>
        <r>
          <rPr>
            <sz val="10"/>
            <color rgb="FF000000"/>
            <rFont val="Arial"/>
            <family val="2"/>
            <scheme val="minor"/>
          </rPr>
          <t>Indication</t>
        </r>
      </text>
    </comment>
    <comment ref="I50" authorId="0" shapeId="0" xr:uid="{00000000-0006-0000-0400-00001A000000}">
      <text>
        <r>
          <rPr>
            <sz val="10"/>
            <color rgb="FF000000"/>
            <rFont val="Arial"/>
            <family val="2"/>
            <scheme val="minor"/>
          </rPr>
          <t>Indication error = I - L</t>
        </r>
      </text>
    </comment>
    <comment ref="K50" authorId="0" shapeId="0" xr:uid="{00000000-0006-0000-0400-00001B000000}">
      <text>
        <r>
          <rPr>
            <sz val="10"/>
            <color rgb="FF000000"/>
            <rFont val="Arial"/>
            <family val="2"/>
            <scheme val="minor"/>
          </rPr>
          <t>max. permissible error</t>
        </r>
      </text>
    </comment>
    <comment ref="G52" authorId="0" shapeId="0" xr:uid="{00000000-0006-0000-0400-00001C000000}">
      <text>
        <r>
          <rPr>
            <sz val="10"/>
            <color rgb="FF000000"/>
            <rFont val="Arial"/>
            <family val="2"/>
            <scheme val="minor"/>
          </rPr>
          <t>indicated weight</t>
        </r>
      </text>
    </comment>
    <comment ref="G53" authorId="0" shapeId="0" xr:uid="{00000000-0006-0000-0400-00001D000000}">
      <text>
        <r>
          <rPr>
            <sz val="10"/>
            <color rgb="FF000000"/>
            <rFont val="Arial"/>
            <family val="2"/>
            <scheme val="minor"/>
          </rPr>
          <t>indicated weight</t>
        </r>
      </text>
    </comment>
    <comment ref="G54" authorId="0" shapeId="0" xr:uid="{00000000-0006-0000-0400-00001E000000}">
      <text>
        <r>
          <rPr>
            <sz val="10"/>
            <color rgb="FF000000"/>
            <rFont val="Arial"/>
            <family val="2"/>
            <scheme val="minor"/>
          </rPr>
          <t>indicated weight</t>
        </r>
      </text>
    </comment>
    <comment ref="G55" authorId="0" shapeId="0" xr:uid="{00000000-0006-0000-0400-00001F000000}">
      <text>
        <r>
          <rPr>
            <sz val="10"/>
            <color rgb="FF000000"/>
            <rFont val="Arial"/>
            <family val="2"/>
            <scheme val="minor"/>
          </rPr>
          <t>indicated weight</t>
        </r>
      </text>
    </comment>
    <comment ref="G56" authorId="0" shapeId="0" xr:uid="{00000000-0006-0000-0400-000020000000}">
      <text>
        <r>
          <rPr>
            <sz val="10"/>
            <color rgb="FF000000"/>
            <rFont val="Arial"/>
            <family val="2"/>
            <scheme val="minor"/>
          </rPr>
          <t>indicated weight</t>
        </r>
      </text>
    </comment>
    <comment ref="G57" authorId="0" shapeId="0" xr:uid="{00000000-0006-0000-0400-000021000000}">
      <text>
        <r>
          <rPr>
            <sz val="10"/>
            <color rgb="FF000000"/>
            <rFont val="Arial"/>
            <family val="2"/>
            <scheme val="minor"/>
          </rPr>
          <t>indicated weight</t>
        </r>
      </text>
    </comment>
    <comment ref="G58" authorId="0" shapeId="0" xr:uid="{00000000-0006-0000-0400-000022000000}">
      <text>
        <r>
          <rPr>
            <sz val="10"/>
            <color rgb="FF000000"/>
            <rFont val="Arial"/>
            <family val="2"/>
            <scheme val="minor"/>
          </rPr>
          <t>indicated weight</t>
        </r>
      </text>
    </comment>
    <comment ref="G59" authorId="0" shapeId="0" xr:uid="{00000000-0006-0000-0400-000023000000}">
      <text>
        <r>
          <rPr>
            <sz val="10"/>
            <color rgb="FF000000"/>
            <rFont val="Arial"/>
            <family val="2"/>
            <scheme val="minor"/>
          </rPr>
          <t>indicated weight</t>
        </r>
      </text>
    </comment>
    <comment ref="G60" authorId="0" shapeId="0" xr:uid="{00000000-0006-0000-0400-000024000000}">
      <text>
        <r>
          <rPr>
            <sz val="10"/>
            <color rgb="FF000000"/>
            <rFont val="Arial"/>
            <family val="2"/>
            <scheme val="minor"/>
          </rPr>
          <t>indicated weight</t>
        </r>
      </text>
    </comment>
    <comment ref="A75" authorId="0" shapeId="0" xr:uid="{00000000-0006-0000-0400-000025000000}">
      <text>
        <r>
          <rPr>
            <sz val="10"/>
            <color rgb="FF000000"/>
            <rFont val="Arial"/>
            <family val="2"/>
            <scheme val="minor"/>
          </rPr>
          <t>applied load after taring</t>
        </r>
      </text>
    </comment>
    <comment ref="E75" authorId="0" shapeId="0" xr:uid="{00000000-0006-0000-0400-000026000000}">
      <text>
        <r>
          <rPr>
            <sz val="10"/>
            <color rgb="FF000000"/>
            <rFont val="Arial"/>
            <family val="2"/>
            <scheme val="minor"/>
          </rPr>
          <t xml:space="preserve">Indicated weight
</t>
        </r>
      </text>
    </comment>
    <comment ref="A97" authorId="0" shapeId="0" xr:uid="{00000000-0006-0000-0400-000027000000}">
      <text>
        <r>
          <rPr>
            <sz val="10"/>
            <color rgb="FF000000"/>
            <rFont val="Arial"/>
            <family val="2"/>
            <scheme val="minor"/>
          </rPr>
          <t>when n&lt;=4 points of support:  L~1/3Max; 
otherwise:  L~Max/(n-1)</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L6" authorId="0" shapeId="0" xr:uid="{00000000-0006-0000-0500-000001000000}">
      <text>
        <r>
          <rPr>
            <sz val="10"/>
            <color rgb="FF000000"/>
            <rFont val="Arial"/>
            <family val="2"/>
            <scheme val="minor"/>
          </rPr>
          <t>RVO-No., name</t>
        </r>
      </text>
    </comment>
    <comment ref="L7" authorId="0" shapeId="0" xr:uid="{00000000-0006-0000-0500-000002000000}">
      <text>
        <r>
          <rPr>
            <sz val="10"/>
            <color rgb="FF000000"/>
            <rFont val="Arial"/>
            <family val="2"/>
            <scheme val="minor"/>
          </rPr>
          <t>Scale No (SCnnnn-nn-nn-nn)</t>
        </r>
      </text>
    </comment>
    <comment ref="L8" authorId="0" shapeId="0" xr:uid="{8C9E23BA-84D8-4B85-816F-3299CA627975}">
      <text>
        <r>
          <rPr>
            <sz val="10"/>
            <color rgb="FF000000"/>
            <rFont val="Arial"/>
            <family val="2"/>
            <scheme val="minor"/>
          </rPr>
          <t>Serial-No. of indicator</t>
        </r>
      </text>
    </comment>
    <comment ref="D9" authorId="0" shapeId="0" xr:uid="{00000000-0006-0000-0500-000003000000}">
      <text>
        <r>
          <rPr>
            <sz val="10"/>
            <color rgb="FF000000"/>
            <rFont val="Arial"/>
            <family val="2"/>
            <scheme val="minor"/>
          </rPr>
          <t>Maximum load</t>
        </r>
      </text>
    </comment>
    <comment ref="L9" authorId="0" shapeId="0" xr:uid="{00000000-0006-0000-0500-000004000000}">
      <text>
        <r>
          <rPr>
            <sz val="10"/>
            <color rgb="FF000000"/>
            <rFont val="Arial"/>
            <family val="2"/>
            <scheme val="minor"/>
          </rPr>
          <t>TAC of indicator</t>
        </r>
      </text>
    </comment>
    <comment ref="D10" authorId="0" shapeId="0" xr:uid="{00000000-0006-0000-0500-000005000000}">
      <text>
        <r>
          <rPr>
            <sz val="10"/>
            <color rgb="FF000000"/>
            <rFont val="Arial"/>
            <family val="2"/>
            <scheme val="minor"/>
          </rPr>
          <t>Calibration value</t>
        </r>
      </text>
    </comment>
    <comment ref="L10" authorId="0" shapeId="0" xr:uid="{00000000-0006-0000-0500-000006000000}">
      <text>
        <r>
          <rPr>
            <sz val="10"/>
            <color rgb="FF000000"/>
            <rFont val="Arial"/>
            <family val="2"/>
            <scheme val="minor"/>
          </rPr>
          <t>Software of indicator</t>
        </r>
      </text>
    </comment>
    <comment ref="L12" authorId="0" shapeId="0" xr:uid="{00000000-0006-0000-0500-000007000000}">
      <text>
        <r>
          <rPr>
            <sz val="10"/>
            <color rgb="FF000000"/>
            <rFont val="Arial"/>
            <family val="2"/>
            <scheme val="minor"/>
          </rPr>
          <t>No. Test weight sets</t>
        </r>
      </text>
    </comment>
    <comment ref="P16" authorId="0" shapeId="0" xr:uid="{00000000-0006-0000-0500-000008000000}">
      <text>
        <r>
          <rPr>
            <sz val="10"/>
            <color rgb="FF000000"/>
            <rFont val="Arial"/>
            <family val="2"/>
            <scheme val="minor"/>
          </rPr>
          <t>Quantity of load cells</t>
        </r>
      </text>
    </comment>
    <comment ref="A28" authorId="0" shapeId="0" xr:uid="{00000000-0006-0000-0500-000009000000}">
      <text>
        <r>
          <rPr>
            <sz val="10"/>
            <color rgb="FF000000"/>
            <rFont val="Arial"/>
            <family val="2"/>
            <scheme val="minor"/>
          </rPr>
          <t>Sample load must be about</t>
        </r>
      </text>
    </comment>
    <comment ref="D28" authorId="0" shapeId="0" xr:uid="{00000000-0006-0000-0500-00000A000000}">
      <text>
        <r>
          <rPr>
            <sz val="10"/>
            <color rgb="FF000000"/>
            <rFont val="Arial"/>
            <family val="2"/>
            <scheme val="minor"/>
          </rPr>
          <t>actual Sample load</t>
        </r>
      </text>
    </comment>
    <comment ref="G28" authorId="0" shapeId="0" xr:uid="{00000000-0006-0000-0500-00000B000000}">
      <text>
        <r>
          <rPr>
            <sz val="10"/>
            <color rgb="FF000000"/>
            <rFont val="Arial"/>
            <family val="2"/>
            <scheme val="minor"/>
          </rPr>
          <t>Indication</t>
        </r>
      </text>
    </comment>
    <comment ref="I28" authorId="0" shapeId="0" xr:uid="{00000000-0006-0000-0500-00000C000000}">
      <text>
        <r>
          <rPr>
            <sz val="10"/>
            <color rgb="FF000000"/>
            <rFont val="Arial"/>
            <family val="2"/>
            <scheme val="minor"/>
          </rPr>
          <t>Indication error = I - L</t>
        </r>
      </text>
    </comment>
    <comment ref="K28" authorId="0" shapeId="0" xr:uid="{00000000-0006-0000-0500-00000D000000}">
      <text>
        <r>
          <rPr>
            <sz val="10"/>
            <color rgb="FF000000"/>
            <rFont val="Arial"/>
            <family val="2"/>
            <scheme val="minor"/>
          </rPr>
          <t>max. permissible error</t>
        </r>
      </text>
    </comment>
    <comment ref="N28" authorId="0" shapeId="0" xr:uid="{00000000-0006-0000-0500-00000E000000}">
      <text>
        <r>
          <rPr>
            <sz val="10"/>
            <color rgb="FF000000"/>
            <rFont val="Arial"/>
            <family val="2"/>
            <scheme val="minor"/>
          </rPr>
          <t>error in multiple of e</t>
        </r>
      </text>
    </comment>
    <comment ref="B30" authorId="0" shapeId="0" xr:uid="{00000000-0006-0000-0500-00000F000000}">
      <text>
        <r>
          <rPr>
            <sz val="10"/>
            <color rgb="FF000000"/>
            <rFont val="Arial"/>
            <family val="2"/>
            <scheme val="minor"/>
          </rPr>
          <t>50%Max</t>
        </r>
      </text>
    </comment>
    <comment ref="E30" authorId="0" shapeId="0" xr:uid="{00000000-0006-0000-0500-000010000000}">
      <text>
        <r>
          <rPr>
            <sz val="10"/>
            <color rgb="FF000000"/>
            <rFont val="Arial"/>
            <family val="2"/>
            <scheme val="minor"/>
          </rPr>
          <t>load of standard weights about 50% Max</t>
        </r>
      </text>
    </comment>
    <comment ref="G30" authorId="0" shapeId="0" xr:uid="{00000000-0006-0000-0500-000011000000}">
      <text>
        <r>
          <rPr>
            <sz val="10"/>
            <color rgb="FF000000"/>
            <rFont val="Arial"/>
            <family val="2"/>
            <scheme val="minor"/>
          </rPr>
          <t>indicated weight</t>
        </r>
      </text>
    </comment>
    <comment ref="B31" authorId="0" shapeId="0" xr:uid="{00000000-0006-0000-0500-000012000000}">
      <text>
        <r>
          <rPr>
            <sz val="10"/>
            <color rgb="FF000000"/>
            <rFont val="Arial"/>
            <family val="2"/>
            <scheme val="minor"/>
          </rPr>
          <t>50%Max</t>
        </r>
      </text>
    </comment>
    <comment ref="B32" authorId="0" shapeId="0" xr:uid="{00000000-0006-0000-0500-000013000000}">
      <text>
        <r>
          <rPr>
            <sz val="10"/>
            <color rgb="FF000000"/>
            <rFont val="Arial"/>
            <family val="2"/>
            <scheme val="minor"/>
          </rPr>
          <t>50%Max</t>
        </r>
      </text>
    </comment>
    <comment ref="A38" authorId="0" shapeId="0" xr:uid="{00000000-0006-0000-0500-000014000000}">
      <text>
        <r>
          <rPr>
            <sz val="10"/>
            <color rgb="FF000000"/>
            <rFont val="Arial"/>
            <family val="2"/>
            <scheme val="minor"/>
          </rPr>
          <t>added load until the indication increases to 1e</t>
        </r>
      </text>
    </comment>
    <comment ref="A45" authorId="0" shapeId="0" xr:uid="{00000000-0006-0000-0500-000015000000}">
      <text>
        <r>
          <rPr>
            <sz val="10"/>
            <color rgb="FF000000"/>
            <rFont val="Arial"/>
            <family val="2"/>
            <scheme val="minor"/>
          </rPr>
          <t>added load until the indication increases to 1e</t>
        </r>
      </text>
    </comment>
    <comment ref="A52" authorId="0" shapeId="0" xr:uid="{00000000-0006-0000-0500-000016000000}">
      <text>
        <r>
          <rPr>
            <sz val="10"/>
            <color rgb="FF000000"/>
            <rFont val="Arial"/>
            <family val="2"/>
            <scheme val="minor"/>
          </rPr>
          <t>Sample load must be about</t>
        </r>
      </text>
    </comment>
    <comment ref="D52" authorId="0" shapeId="0" xr:uid="{00000000-0006-0000-0500-000017000000}">
      <text>
        <r>
          <rPr>
            <sz val="10"/>
            <color rgb="FF000000"/>
            <rFont val="Arial"/>
            <family val="2"/>
            <scheme val="minor"/>
          </rPr>
          <t>actual Sample load</t>
        </r>
      </text>
    </comment>
    <comment ref="G52" authorId="0" shapeId="0" xr:uid="{00000000-0006-0000-0500-000018000000}">
      <text>
        <r>
          <rPr>
            <sz val="10"/>
            <color rgb="FF000000"/>
            <rFont val="Arial"/>
            <family val="2"/>
            <scheme val="minor"/>
          </rPr>
          <t>Indication</t>
        </r>
      </text>
    </comment>
    <comment ref="I52" authorId="0" shapeId="0" xr:uid="{00000000-0006-0000-0500-000019000000}">
      <text>
        <r>
          <rPr>
            <sz val="10"/>
            <color rgb="FF000000"/>
            <rFont val="Arial"/>
            <family val="2"/>
            <scheme val="minor"/>
          </rPr>
          <t>Indication error = I - L</t>
        </r>
      </text>
    </comment>
    <comment ref="K52" authorId="0" shapeId="0" xr:uid="{00000000-0006-0000-0500-00001A000000}">
      <text>
        <r>
          <rPr>
            <sz val="10"/>
            <color rgb="FF000000"/>
            <rFont val="Arial"/>
            <family val="2"/>
            <scheme val="minor"/>
          </rPr>
          <t>max. permissible error</t>
        </r>
      </text>
    </comment>
    <comment ref="G54" authorId="0" shapeId="0" xr:uid="{00000000-0006-0000-0500-00001B000000}">
      <text>
        <r>
          <rPr>
            <sz val="10"/>
            <color rgb="FF000000"/>
            <rFont val="Arial"/>
            <family val="2"/>
            <scheme val="minor"/>
          </rPr>
          <t>indicated weight</t>
        </r>
      </text>
    </comment>
    <comment ref="G55" authorId="0" shapeId="0" xr:uid="{00000000-0006-0000-0500-00001C000000}">
      <text>
        <r>
          <rPr>
            <sz val="10"/>
            <color rgb="FF000000"/>
            <rFont val="Arial"/>
            <family val="2"/>
            <scheme val="minor"/>
          </rPr>
          <t>indicated weight</t>
        </r>
      </text>
    </comment>
    <comment ref="G56" authorId="0" shapeId="0" xr:uid="{00000000-0006-0000-0500-00001D000000}">
      <text>
        <r>
          <rPr>
            <sz val="10"/>
            <color rgb="FF000000"/>
            <rFont val="Arial"/>
            <family val="2"/>
            <scheme val="minor"/>
          </rPr>
          <t>indicated weight</t>
        </r>
      </text>
    </comment>
    <comment ref="G57" authorId="0" shapeId="0" xr:uid="{00000000-0006-0000-0500-00001E000000}">
      <text>
        <r>
          <rPr>
            <sz val="10"/>
            <color rgb="FF000000"/>
            <rFont val="Arial"/>
            <family val="2"/>
            <scheme val="minor"/>
          </rPr>
          <t>indicated weight</t>
        </r>
      </text>
    </comment>
    <comment ref="G58" authorId="0" shapeId="0" xr:uid="{00000000-0006-0000-0500-00001F000000}">
      <text>
        <r>
          <rPr>
            <sz val="10"/>
            <color rgb="FF000000"/>
            <rFont val="Arial"/>
            <family val="2"/>
            <scheme val="minor"/>
          </rPr>
          <t>indicated weight</t>
        </r>
      </text>
    </comment>
    <comment ref="G59" authorId="0" shapeId="0" xr:uid="{00000000-0006-0000-0500-000020000000}">
      <text>
        <r>
          <rPr>
            <sz val="10"/>
            <color rgb="FF000000"/>
            <rFont val="Arial"/>
            <family val="2"/>
            <scheme val="minor"/>
          </rPr>
          <t>indicated weight</t>
        </r>
      </text>
    </comment>
    <comment ref="G60" authorId="0" shapeId="0" xr:uid="{00000000-0006-0000-0500-000021000000}">
      <text>
        <r>
          <rPr>
            <sz val="10"/>
            <color rgb="FF000000"/>
            <rFont val="Arial"/>
            <family val="2"/>
            <scheme val="minor"/>
          </rPr>
          <t>indicated weight</t>
        </r>
      </text>
    </comment>
    <comment ref="G61" authorId="0" shapeId="0" xr:uid="{00000000-0006-0000-0500-000022000000}">
      <text>
        <r>
          <rPr>
            <sz val="10"/>
            <color rgb="FF000000"/>
            <rFont val="Arial"/>
            <family val="2"/>
            <scheme val="minor"/>
          </rPr>
          <t>indicated weight</t>
        </r>
      </text>
    </comment>
    <comment ref="G62" authorId="0" shapeId="0" xr:uid="{00000000-0006-0000-0500-000023000000}">
      <text>
        <r>
          <rPr>
            <sz val="10"/>
            <color rgb="FF000000"/>
            <rFont val="Arial"/>
            <family val="2"/>
            <scheme val="minor"/>
          </rPr>
          <t>indicated weight</t>
        </r>
      </text>
    </comment>
    <comment ref="A74" authorId="0" shapeId="0" xr:uid="{00000000-0006-0000-0500-000024000000}">
      <text>
        <r>
          <rPr>
            <sz val="10"/>
            <color rgb="FF000000"/>
            <rFont val="Arial"/>
            <family val="2"/>
            <scheme val="minor"/>
          </rPr>
          <t>applied load after taring</t>
        </r>
      </text>
    </comment>
    <comment ref="E74" authorId="0" shapeId="0" xr:uid="{00000000-0006-0000-0500-000025000000}">
      <text>
        <r>
          <rPr>
            <sz val="10"/>
            <color rgb="FF000000"/>
            <rFont val="Arial"/>
            <family val="2"/>
            <scheme val="minor"/>
          </rPr>
          <t xml:space="preserve">Indicated weight
</t>
        </r>
      </text>
    </comment>
    <comment ref="A96" authorId="0" shapeId="0" xr:uid="{00000000-0006-0000-0500-000026000000}">
      <text>
        <r>
          <rPr>
            <sz val="10"/>
            <color rgb="FF000000"/>
            <rFont val="Arial"/>
            <family val="2"/>
            <scheme val="minor"/>
          </rPr>
          <t>when n&lt;=4 points of support:  L~1/3Max; 
otherwise:  L~Max/(n-1)</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L6" authorId="0" shapeId="0" xr:uid="{00000000-0006-0000-0600-000001000000}">
      <text>
        <r>
          <rPr>
            <sz val="10"/>
            <color rgb="FF000000"/>
            <rFont val="Arial"/>
            <family val="2"/>
            <scheme val="minor"/>
          </rPr>
          <t>RVO-No., name</t>
        </r>
      </text>
    </comment>
    <comment ref="L7" authorId="0" shapeId="0" xr:uid="{00000000-0006-0000-0600-000002000000}">
      <text>
        <r>
          <rPr>
            <sz val="10"/>
            <color rgb="FF000000"/>
            <rFont val="Arial"/>
            <family val="2"/>
            <scheme val="minor"/>
          </rPr>
          <t>Scale No (SCnnnn-nn-nn-nn)</t>
        </r>
      </text>
    </comment>
    <comment ref="L8" authorId="0" shapeId="0" xr:uid="{45922A2B-62B4-45BA-A0A8-CEDE8BCB98F1}">
      <text>
        <r>
          <rPr>
            <sz val="10"/>
            <color rgb="FF000000"/>
            <rFont val="Arial"/>
            <family val="2"/>
            <scheme val="minor"/>
          </rPr>
          <t>Serial-No. of indicator</t>
        </r>
      </text>
    </comment>
    <comment ref="D9" authorId="0" shapeId="0" xr:uid="{00000000-0006-0000-0600-000003000000}">
      <text>
        <r>
          <rPr>
            <sz val="10"/>
            <color rgb="FF000000"/>
            <rFont val="Arial"/>
            <family val="2"/>
            <scheme val="minor"/>
          </rPr>
          <t>Maximum load</t>
        </r>
      </text>
    </comment>
    <comment ref="L9" authorId="0" shapeId="0" xr:uid="{00000000-0006-0000-0600-000004000000}">
      <text>
        <r>
          <rPr>
            <sz val="10"/>
            <color rgb="FF000000"/>
            <rFont val="Arial"/>
            <family val="2"/>
            <scheme val="minor"/>
          </rPr>
          <t>TAC of indicator</t>
        </r>
      </text>
    </comment>
    <comment ref="D10" authorId="0" shapeId="0" xr:uid="{00000000-0006-0000-0600-000005000000}">
      <text>
        <r>
          <rPr>
            <sz val="10"/>
            <color rgb="FF000000"/>
            <rFont val="Arial"/>
            <family val="2"/>
            <scheme val="minor"/>
          </rPr>
          <t>Calibration value</t>
        </r>
      </text>
    </comment>
    <comment ref="L10" authorId="0" shapeId="0" xr:uid="{00000000-0006-0000-0600-000006000000}">
      <text>
        <r>
          <rPr>
            <sz val="10"/>
            <color rgb="FF000000"/>
            <rFont val="Arial"/>
            <family val="2"/>
            <scheme val="minor"/>
          </rPr>
          <t>Software of indicator</t>
        </r>
      </text>
    </comment>
    <comment ref="L12" authorId="0" shapeId="0" xr:uid="{00000000-0006-0000-0600-000007000000}">
      <text>
        <r>
          <rPr>
            <sz val="10"/>
            <color rgb="FF000000"/>
            <rFont val="Arial"/>
            <family val="2"/>
            <scheme val="minor"/>
          </rPr>
          <t>No. Test weight sets</t>
        </r>
      </text>
    </comment>
    <comment ref="P16" authorId="0" shapeId="0" xr:uid="{00000000-0006-0000-0600-000008000000}">
      <text>
        <r>
          <rPr>
            <sz val="10"/>
            <color rgb="FF000000"/>
            <rFont val="Arial"/>
            <family val="2"/>
            <scheme val="minor"/>
          </rPr>
          <t>Quantity of load cells</t>
        </r>
      </text>
    </comment>
    <comment ref="A29" authorId="0" shapeId="0" xr:uid="{00000000-0006-0000-0600-000009000000}">
      <text>
        <r>
          <rPr>
            <sz val="10"/>
            <color rgb="FF000000"/>
            <rFont val="Arial"/>
            <family val="2"/>
            <scheme val="minor"/>
          </rPr>
          <t>Sample load must be about</t>
        </r>
      </text>
    </comment>
    <comment ref="D29" authorId="0" shapeId="0" xr:uid="{00000000-0006-0000-0600-00000A000000}">
      <text>
        <r>
          <rPr>
            <sz val="10"/>
            <color rgb="FF000000"/>
            <rFont val="Arial"/>
            <family val="2"/>
            <scheme val="minor"/>
          </rPr>
          <t>actual Sample load</t>
        </r>
      </text>
    </comment>
    <comment ref="G29" authorId="0" shapeId="0" xr:uid="{00000000-0006-0000-0600-00000B000000}">
      <text>
        <r>
          <rPr>
            <sz val="10"/>
            <color rgb="FF000000"/>
            <rFont val="Arial"/>
            <family val="2"/>
            <scheme val="minor"/>
          </rPr>
          <t>Indication</t>
        </r>
      </text>
    </comment>
    <comment ref="I29" authorId="0" shapeId="0" xr:uid="{00000000-0006-0000-0600-00000C000000}">
      <text>
        <r>
          <rPr>
            <sz val="10"/>
            <color rgb="FF000000"/>
            <rFont val="Arial"/>
            <family val="2"/>
            <scheme val="minor"/>
          </rPr>
          <t>Indication error = I - L</t>
        </r>
      </text>
    </comment>
    <comment ref="K29" authorId="0" shapeId="0" xr:uid="{00000000-0006-0000-0600-00000D000000}">
      <text>
        <r>
          <rPr>
            <sz val="10"/>
            <color rgb="FF000000"/>
            <rFont val="Arial"/>
            <family val="2"/>
            <scheme val="minor"/>
          </rPr>
          <t>max. permissible error</t>
        </r>
      </text>
    </comment>
    <comment ref="N29" authorId="0" shapeId="0" xr:uid="{00000000-0006-0000-0600-00000E000000}">
      <text>
        <r>
          <rPr>
            <sz val="10"/>
            <color rgb="FF000000"/>
            <rFont val="Arial"/>
            <family val="2"/>
            <scheme val="minor"/>
          </rPr>
          <t>error in multiple of e</t>
        </r>
      </text>
    </comment>
    <comment ref="B31" authorId="0" shapeId="0" xr:uid="{00000000-0006-0000-0600-00000F000000}">
      <text>
        <r>
          <rPr>
            <sz val="10"/>
            <color rgb="FF000000"/>
            <rFont val="Arial"/>
            <family val="2"/>
            <scheme val="minor"/>
          </rPr>
          <t>50%Max</t>
        </r>
      </text>
    </comment>
    <comment ref="E31" authorId="0" shapeId="0" xr:uid="{00000000-0006-0000-0600-000010000000}">
      <text>
        <r>
          <rPr>
            <sz val="10"/>
            <color rgb="FF000000"/>
            <rFont val="Arial"/>
            <family val="2"/>
            <scheme val="minor"/>
          </rPr>
          <t>load that should be substituted, about 50% Max</t>
        </r>
      </text>
    </comment>
    <comment ref="G31" authorId="0" shapeId="0" xr:uid="{00000000-0006-0000-0600-000011000000}">
      <text>
        <r>
          <rPr>
            <sz val="10"/>
            <color rgb="FF000000"/>
            <rFont val="Arial"/>
            <family val="2"/>
            <scheme val="minor"/>
          </rPr>
          <t>indicated weight</t>
        </r>
      </text>
    </comment>
    <comment ref="B32" authorId="0" shapeId="0" xr:uid="{00000000-0006-0000-0600-000012000000}">
      <text>
        <r>
          <rPr>
            <sz val="10"/>
            <color rgb="FF000000"/>
            <rFont val="Arial"/>
            <family val="2"/>
            <scheme val="minor"/>
          </rPr>
          <t>50%Max</t>
        </r>
      </text>
    </comment>
    <comment ref="B33" authorId="0" shapeId="0" xr:uid="{00000000-0006-0000-0600-000013000000}">
      <text>
        <r>
          <rPr>
            <sz val="10"/>
            <color rgb="FF000000"/>
            <rFont val="Arial"/>
            <family val="2"/>
            <scheme val="minor"/>
          </rPr>
          <t>50%Max</t>
        </r>
      </text>
    </comment>
    <comment ref="A39" authorId="0" shapeId="0" xr:uid="{00000000-0006-0000-0600-000014000000}">
      <text>
        <r>
          <rPr>
            <sz val="10"/>
            <color rgb="FF000000"/>
            <rFont val="Arial"/>
            <family val="2"/>
            <scheme val="minor"/>
          </rPr>
          <t>added load until the indication increases to 1e</t>
        </r>
      </text>
    </comment>
    <comment ref="A46" authorId="0" shapeId="0" xr:uid="{00000000-0006-0000-0600-000015000000}">
      <text>
        <r>
          <rPr>
            <sz val="10"/>
            <color rgb="FF000000"/>
            <rFont val="Arial"/>
            <family val="2"/>
            <scheme val="minor"/>
          </rPr>
          <t>added load until the indication increases to 1e</t>
        </r>
      </text>
    </comment>
    <comment ref="A53" authorId="0" shapeId="0" xr:uid="{00000000-0006-0000-0600-000016000000}">
      <text>
        <r>
          <rPr>
            <sz val="10"/>
            <color rgb="FF000000"/>
            <rFont val="Arial"/>
            <family val="2"/>
            <scheme val="minor"/>
          </rPr>
          <t>Sample load must be about</t>
        </r>
      </text>
    </comment>
    <comment ref="D53" authorId="0" shapeId="0" xr:uid="{00000000-0006-0000-0600-000017000000}">
      <text>
        <r>
          <rPr>
            <sz val="10"/>
            <color rgb="FF000000"/>
            <rFont val="Arial"/>
            <family val="2"/>
            <scheme val="minor"/>
          </rPr>
          <t>actual Sample load</t>
        </r>
      </text>
    </comment>
    <comment ref="G53" authorId="0" shapeId="0" xr:uid="{00000000-0006-0000-0600-000018000000}">
      <text>
        <r>
          <rPr>
            <sz val="10"/>
            <color rgb="FF000000"/>
            <rFont val="Arial"/>
            <family val="2"/>
            <scheme val="minor"/>
          </rPr>
          <t>Indication</t>
        </r>
      </text>
    </comment>
    <comment ref="I53" authorId="0" shapeId="0" xr:uid="{00000000-0006-0000-0600-000019000000}">
      <text>
        <r>
          <rPr>
            <sz val="10"/>
            <color rgb="FF000000"/>
            <rFont val="Arial"/>
            <family val="2"/>
            <scheme val="minor"/>
          </rPr>
          <t>Indication error = I - L</t>
        </r>
      </text>
    </comment>
    <comment ref="K53" authorId="0" shapeId="0" xr:uid="{00000000-0006-0000-0600-00001A000000}">
      <text>
        <r>
          <rPr>
            <sz val="10"/>
            <color rgb="FF000000"/>
            <rFont val="Arial"/>
            <family val="2"/>
            <scheme val="minor"/>
          </rPr>
          <t>max. permissible error</t>
        </r>
      </text>
    </comment>
    <comment ref="G55" authorId="0" shapeId="0" xr:uid="{00000000-0006-0000-0600-00001B000000}">
      <text>
        <r>
          <rPr>
            <sz val="10"/>
            <color rgb="FF000000"/>
            <rFont val="Arial"/>
            <family val="2"/>
            <scheme val="minor"/>
          </rPr>
          <t>indicated weight</t>
        </r>
      </text>
    </comment>
    <comment ref="G56" authorId="0" shapeId="0" xr:uid="{00000000-0006-0000-0600-00001C000000}">
      <text>
        <r>
          <rPr>
            <sz val="10"/>
            <color rgb="FF000000"/>
            <rFont val="Arial"/>
            <family val="2"/>
            <scheme val="minor"/>
          </rPr>
          <t>indicated weight</t>
        </r>
      </text>
    </comment>
    <comment ref="G57" authorId="0" shapeId="0" xr:uid="{00000000-0006-0000-0600-00001D000000}">
      <text>
        <r>
          <rPr>
            <sz val="10"/>
            <color rgb="FF000000"/>
            <rFont val="Arial"/>
            <family val="2"/>
            <scheme val="minor"/>
          </rPr>
          <t>indicated weight</t>
        </r>
      </text>
    </comment>
    <comment ref="G58" authorId="0" shapeId="0" xr:uid="{00000000-0006-0000-0600-00001E000000}">
      <text>
        <r>
          <rPr>
            <sz val="10"/>
            <color rgb="FF000000"/>
            <rFont val="Arial"/>
            <family val="2"/>
            <scheme val="minor"/>
          </rPr>
          <t>indicated weight</t>
        </r>
      </text>
    </comment>
    <comment ref="G59" authorId="0" shapeId="0" xr:uid="{00000000-0006-0000-0600-00001F000000}">
      <text>
        <r>
          <rPr>
            <sz val="10"/>
            <color rgb="FF000000"/>
            <rFont val="Arial"/>
            <family val="2"/>
            <scheme val="minor"/>
          </rPr>
          <t>indicated weight</t>
        </r>
      </text>
    </comment>
    <comment ref="G60" authorId="0" shapeId="0" xr:uid="{00000000-0006-0000-0600-000020000000}">
      <text>
        <r>
          <rPr>
            <sz val="10"/>
            <color rgb="FF000000"/>
            <rFont val="Arial"/>
            <family val="2"/>
            <scheme val="minor"/>
          </rPr>
          <t>indicated weight</t>
        </r>
      </text>
    </comment>
    <comment ref="G61" authorId="0" shapeId="0" xr:uid="{00000000-0006-0000-0600-000021000000}">
      <text>
        <r>
          <rPr>
            <sz val="10"/>
            <color rgb="FF000000"/>
            <rFont val="Arial"/>
            <family val="2"/>
            <scheme val="minor"/>
          </rPr>
          <t>indicated weight</t>
        </r>
      </text>
    </comment>
    <comment ref="G62" authorId="0" shapeId="0" xr:uid="{00000000-0006-0000-0600-000022000000}">
      <text>
        <r>
          <rPr>
            <sz val="10"/>
            <color rgb="FF000000"/>
            <rFont val="Arial"/>
            <family val="2"/>
            <scheme val="minor"/>
          </rPr>
          <t>indicated weight</t>
        </r>
      </text>
    </comment>
    <comment ref="G63" authorId="0" shapeId="0" xr:uid="{00000000-0006-0000-0600-000023000000}">
      <text>
        <r>
          <rPr>
            <sz val="10"/>
            <color rgb="FF000000"/>
            <rFont val="Arial"/>
            <family val="2"/>
            <scheme val="minor"/>
          </rPr>
          <t>indicated weight</t>
        </r>
      </text>
    </comment>
    <comment ref="A75" authorId="0" shapeId="0" xr:uid="{00000000-0006-0000-0600-000024000000}">
      <text>
        <r>
          <rPr>
            <sz val="10"/>
            <color rgb="FF000000"/>
            <rFont val="Arial"/>
            <family val="2"/>
            <scheme val="minor"/>
          </rPr>
          <t>applied load after taring</t>
        </r>
      </text>
    </comment>
    <comment ref="E75" authorId="0" shapeId="0" xr:uid="{00000000-0006-0000-0600-000025000000}">
      <text>
        <r>
          <rPr>
            <sz val="10"/>
            <color rgb="FF000000"/>
            <rFont val="Arial"/>
            <family val="2"/>
            <scheme val="minor"/>
          </rPr>
          <t xml:space="preserve">Indicated weight
</t>
        </r>
      </text>
    </comment>
    <comment ref="A97" authorId="0" shapeId="0" xr:uid="{00000000-0006-0000-0600-000026000000}">
      <text>
        <r>
          <rPr>
            <sz val="10"/>
            <color rgb="FF000000"/>
            <rFont val="Arial"/>
            <family val="2"/>
            <scheme val="minor"/>
          </rPr>
          <t>when n&lt;=4 points of support:  L~1/3Max; 
otherwise:  L~Max/(n-1)</t>
        </r>
      </text>
    </comment>
    <comment ref="K118" authorId="0" shapeId="0" xr:uid="{00000000-0006-0000-0600-000027000000}">
      <text>
        <r>
          <rPr>
            <sz val="10"/>
            <color rgb="FF000000"/>
            <rFont val="Arial"/>
            <family val="2"/>
            <scheme val="minor"/>
          </rPr>
          <t>length / m</t>
        </r>
      </text>
    </comment>
    <comment ref="N118" authorId="0" shapeId="0" xr:uid="{00000000-0006-0000-0600-000028000000}">
      <text>
        <r>
          <rPr>
            <sz val="10"/>
            <color rgb="FF000000"/>
            <rFont val="Arial"/>
            <family val="2"/>
            <scheme val="minor"/>
          </rPr>
          <t>width / m</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L6" authorId="0" shapeId="0" xr:uid="{00000000-0006-0000-0700-000001000000}">
      <text>
        <r>
          <rPr>
            <sz val="10"/>
            <color rgb="FF000000"/>
            <rFont val="Arial"/>
            <family val="2"/>
            <scheme val="minor"/>
          </rPr>
          <t>RVO-No., name</t>
        </r>
      </text>
    </comment>
    <comment ref="L7" authorId="0" shapeId="0" xr:uid="{00000000-0006-0000-0700-000002000000}">
      <text>
        <r>
          <rPr>
            <sz val="10"/>
            <color rgb="FF000000"/>
            <rFont val="Arial"/>
            <family val="2"/>
            <scheme val="minor"/>
          </rPr>
          <t>Scale No (SCnnnn-nn-nn-nn)</t>
        </r>
      </text>
    </comment>
    <comment ref="L8" authorId="0" shapeId="0" xr:uid="{1886FB44-7F9A-4757-8B83-89A78A568B65}">
      <text>
        <r>
          <rPr>
            <sz val="10"/>
            <color rgb="FF000000"/>
            <rFont val="Arial"/>
            <family val="2"/>
            <scheme val="minor"/>
          </rPr>
          <t>Serial-No. of indicator</t>
        </r>
      </text>
    </comment>
    <comment ref="D9" authorId="0" shapeId="0" xr:uid="{00000000-0006-0000-0700-000003000000}">
      <text>
        <r>
          <rPr>
            <sz val="10"/>
            <color rgb="FF000000"/>
            <rFont val="Arial"/>
            <family val="2"/>
            <scheme val="minor"/>
          </rPr>
          <t>Maximum load</t>
        </r>
      </text>
    </comment>
    <comment ref="L9" authorId="0" shapeId="0" xr:uid="{00000000-0006-0000-0700-000004000000}">
      <text>
        <r>
          <rPr>
            <sz val="10"/>
            <color rgb="FF000000"/>
            <rFont val="Arial"/>
            <family val="2"/>
            <scheme val="minor"/>
          </rPr>
          <t>TAC of indicator</t>
        </r>
      </text>
    </comment>
    <comment ref="D10" authorId="0" shapeId="0" xr:uid="{00000000-0006-0000-0700-000005000000}">
      <text>
        <r>
          <rPr>
            <sz val="10"/>
            <color rgb="FF000000"/>
            <rFont val="Arial"/>
            <family val="2"/>
            <scheme val="minor"/>
          </rPr>
          <t>Calibration value</t>
        </r>
      </text>
    </comment>
    <comment ref="L10" authorId="0" shapeId="0" xr:uid="{00000000-0006-0000-0700-000006000000}">
      <text>
        <r>
          <rPr>
            <sz val="10"/>
            <color rgb="FF000000"/>
            <rFont val="Arial"/>
            <family val="2"/>
            <scheme val="minor"/>
          </rPr>
          <t>Software of indicator</t>
        </r>
      </text>
    </comment>
    <comment ref="L12" authorId="0" shapeId="0" xr:uid="{00000000-0006-0000-0700-000007000000}">
      <text>
        <r>
          <rPr>
            <sz val="10"/>
            <color rgb="FF000000"/>
            <rFont val="Arial"/>
            <family val="2"/>
            <scheme val="minor"/>
          </rPr>
          <t>No. Test weight sets</t>
        </r>
      </text>
    </comment>
    <comment ref="P16" authorId="0" shapeId="0" xr:uid="{00000000-0006-0000-0700-000008000000}">
      <text>
        <r>
          <rPr>
            <sz val="10"/>
            <color rgb="FF000000"/>
            <rFont val="Arial"/>
            <family val="2"/>
            <scheme val="minor"/>
          </rPr>
          <t>Quantity of load cells</t>
        </r>
      </text>
    </comment>
    <comment ref="A20" authorId="0" shapeId="0" xr:uid="{00000000-0006-0000-0700-000009000000}">
      <text>
        <r>
          <rPr>
            <sz val="10"/>
            <color rgb="FF000000"/>
            <rFont val="Arial"/>
            <family val="2"/>
            <scheme val="minor"/>
          </rPr>
          <t>Sample load must be about</t>
        </r>
      </text>
    </comment>
    <comment ref="D20" authorId="0" shapeId="0" xr:uid="{00000000-0006-0000-0700-00000A000000}">
      <text>
        <r>
          <rPr>
            <sz val="10"/>
            <color rgb="FF000000"/>
            <rFont val="Arial"/>
            <family val="2"/>
            <scheme val="minor"/>
          </rPr>
          <t>actual Sample load</t>
        </r>
      </text>
    </comment>
    <comment ref="G20" authorId="0" shapeId="0" xr:uid="{00000000-0006-0000-0700-00000B000000}">
      <text>
        <r>
          <rPr>
            <sz val="10"/>
            <color rgb="FF000000"/>
            <rFont val="Arial"/>
            <family val="2"/>
            <scheme val="minor"/>
          </rPr>
          <t>Indication</t>
        </r>
      </text>
    </comment>
    <comment ref="I20" authorId="0" shapeId="0" xr:uid="{00000000-0006-0000-0700-00000C000000}">
      <text>
        <r>
          <rPr>
            <sz val="10"/>
            <color rgb="FF000000"/>
            <rFont val="Arial"/>
            <family val="2"/>
            <scheme val="minor"/>
          </rPr>
          <t>Indication error = I - L</t>
        </r>
      </text>
    </comment>
    <comment ref="K20" authorId="0" shapeId="0" xr:uid="{00000000-0006-0000-0700-00000D000000}">
      <text>
        <r>
          <rPr>
            <sz val="10"/>
            <color rgb="FF000000"/>
            <rFont val="Arial"/>
            <family val="2"/>
            <scheme val="minor"/>
          </rPr>
          <t>max. permissible error</t>
        </r>
      </text>
    </comment>
    <comment ref="B22" authorId="0" shapeId="0" xr:uid="{00000000-0006-0000-0700-00000E000000}">
      <text>
        <r>
          <rPr>
            <sz val="10"/>
            <color rgb="FF000000"/>
            <rFont val="Arial"/>
            <family val="2"/>
            <scheme val="minor"/>
          </rPr>
          <t>80%Max</t>
        </r>
      </text>
    </comment>
    <comment ref="E22" authorId="0" shapeId="0" xr:uid="{00000000-0006-0000-0700-00000F000000}">
      <text>
        <r>
          <rPr>
            <sz val="10"/>
            <color rgb="FF000000"/>
            <rFont val="Arial"/>
            <family val="2"/>
            <scheme val="minor"/>
          </rPr>
          <t>~80%Max</t>
        </r>
      </text>
    </comment>
    <comment ref="G22" authorId="0" shapeId="0" xr:uid="{00000000-0006-0000-0700-000010000000}">
      <text>
        <r>
          <rPr>
            <sz val="10"/>
            <color rgb="FF000000"/>
            <rFont val="Arial"/>
            <family val="2"/>
            <scheme val="minor"/>
          </rPr>
          <t>indicated weight</t>
        </r>
      </text>
    </comment>
    <comment ref="B23" authorId="0" shapeId="0" xr:uid="{00000000-0006-0000-0700-000011000000}">
      <text>
        <r>
          <rPr>
            <sz val="10"/>
            <color rgb="FF000000"/>
            <rFont val="Arial"/>
            <family val="2"/>
            <scheme val="minor"/>
          </rPr>
          <t>80%Max</t>
        </r>
      </text>
    </comment>
    <comment ref="E23" authorId="0" shapeId="0" xr:uid="{00000000-0006-0000-0700-000012000000}">
      <text>
        <r>
          <rPr>
            <sz val="10"/>
            <color rgb="FF000000"/>
            <rFont val="Arial"/>
            <family val="2"/>
            <scheme val="minor"/>
          </rPr>
          <t>~80%Max</t>
        </r>
      </text>
    </comment>
    <comment ref="B24" authorId="0" shapeId="0" xr:uid="{00000000-0006-0000-0700-000013000000}">
      <text>
        <r>
          <rPr>
            <sz val="10"/>
            <color rgb="FF000000"/>
            <rFont val="Arial"/>
            <family val="2"/>
            <scheme val="minor"/>
          </rPr>
          <t>80%Max</t>
        </r>
      </text>
    </comment>
    <comment ref="E24" authorId="0" shapeId="0" xr:uid="{00000000-0006-0000-0700-000014000000}">
      <text>
        <r>
          <rPr>
            <sz val="10"/>
            <color rgb="FF000000"/>
            <rFont val="Arial"/>
            <family val="2"/>
            <scheme val="minor"/>
          </rPr>
          <t>~80%Max</t>
        </r>
      </text>
    </comment>
    <comment ref="A29" authorId="0" shapeId="0" xr:uid="{00000000-0006-0000-0700-000015000000}">
      <text>
        <r>
          <rPr>
            <sz val="10"/>
            <color rgb="FF000000"/>
            <rFont val="Arial"/>
            <family val="2"/>
            <scheme val="minor"/>
          </rPr>
          <t>added load until the indication increases to 1e</t>
        </r>
      </text>
    </comment>
    <comment ref="A36" authorId="0" shapeId="0" xr:uid="{00000000-0006-0000-0700-000016000000}">
      <text>
        <r>
          <rPr>
            <sz val="10"/>
            <color rgb="FF000000"/>
            <rFont val="Arial"/>
            <family val="2"/>
            <scheme val="minor"/>
          </rPr>
          <t>added load until the indication increases to 1e</t>
        </r>
      </text>
    </comment>
    <comment ref="A43" authorId="0" shapeId="0" xr:uid="{00000000-0006-0000-0700-000017000000}">
      <text>
        <r>
          <rPr>
            <sz val="10"/>
            <color rgb="FF000000"/>
            <rFont val="Arial"/>
            <family val="2"/>
            <scheme val="minor"/>
          </rPr>
          <t>Sample load must be about</t>
        </r>
      </text>
    </comment>
    <comment ref="D43" authorId="0" shapeId="0" xr:uid="{00000000-0006-0000-0700-000018000000}">
      <text>
        <r>
          <rPr>
            <sz val="10"/>
            <color rgb="FF000000"/>
            <rFont val="Arial"/>
            <family val="2"/>
            <scheme val="minor"/>
          </rPr>
          <t>actual Sample load</t>
        </r>
      </text>
    </comment>
    <comment ref="G43" authorId="0" shapeId="0" xr:uid="{00000000-0006-0000-0700-000019000000}">
      <text>
        <r>
          <rPr>
            <sz val="10"/>
            <color rgb="FF000000"/>
            <rFont val="Arial"/>
            <family val="2"/>
            <scheme val="minor"/>
          </rPr>
          <t>Indication</t>
        </r>
      </text>
    </comment>
    <comment ref="I43" authorId="0" shapeId="0" xr:uid="{00000000-0006-0000-0700-00001A000000}">
      <text>
        <r>
          <rPr>
            <sz val="10"/>
            <color rgb="FF000000"/>
            <rFont val="Arial"/>
            <family val="2"/>
            <scheme val="minor"/>
          </rPr>
          <t>Indication error = I - L</t>
        </r>
      </text>
    </comment>
    <comment ref="K43" authorId="0" shapeId="0" xr:uid="{00000000-0006-0000-0700-00001B000000}">
      <text>
        <r>
          <rPr>
            <sz val="10"/>
            <color rgb="FF000000"/>
            <rFont val="Arial"/>
            <family val="2"/>
            <scheme val="minor"/>
          </rPr>
          <t>max. permissible error</t>
        </r>
      </text>
    </comment>
    <comment ref="G45" authorId="0" shapeId="0" xr:uid="{00000000-0006-0000-0700-00001C000000}">
      <text>
        <r>
          <rPr>
            <sz val="10"/>
            <color rgb="FF000000"/>
            <rFont val="Arial"/>
            <family val="2"/>
            <scheme val="minor"/>
          </rPr>
          <t>indicated weight</t>
        </r>
      </text>
    </comment>
    <comment ref="G46" authorId="0" shapeId="0" xr:uid="{00000000-0006-0000-0700-00001D000000}">
      <text>
        <r>
          <rPr>
            <sz val="10"/>
            <color rgb="FF000000"/>
            <rFont val="Arial"/>
            <family val="2"/>
            <scheme val="minor"/>
          </rPr>
          <t>indicated weight</t>
        </r>
      </text>
    </comment>
    <comment ref="G47" authorId="0" shapeId="0" xr:uid="{00000000-0006-0000-0700-00001E000000}">
      <text>
        <r>
          <rPr>
            <sz val="10"/>
            <color rgb="FF000000"/>
            <rFont val="Arial"/>
            <family val="2"/>
            <scheme val="minor"/>
          </rPr>
          <t>indicated weight</t>
        </r>
      </text>
    </comment>
    <comment ref="G48" authorId="0" shapeId="0" xr:uid="{00000000-0006-0000-0700-00001F000000}">
      <text>
        <r>
          <rPr>
            <sz val="10"/>
            <color rgb="FF000000"/>
            <rFont val="Arial"/>
            <family val="2"/>
            <scheme val="minor"/>
          </rPr>
          <t>indicated weight</t>
        </r>
      </text>
    </comment>
    <comment ref="G49" authorId="0" shapeId="0" xr:uid="{00000000-0006-0000-0700-000020000000}">
      <text>
        <r>
          <rPr>
            <sz val="10"/>
            <color rgb="FF000000"/>
            <rFont val="Arial"/>
            <family val="2"/>
            <scheme val="minor"/>
          </rPr>
          <t>indicated weight</t>
        </r>
      </text>
    </comment>
    <comment ref="G50" authorId="0" shapeId="0" xr:uid="{00000000-0006-0000-0700-000021000000}">
      <text>
        <r>
          <rPr>
            <sz val="10"/>
            <color rgb="FF000000"/>
            <rFont val="Arial"/>
            <family val="2"/>
            <scheme val="minor"/>
          </rPr>
          <t>indicated weight</t>
        </r>
      </text>
    </comment>
    <comment ref="G51" authorId="0" shapeId="0" xr:uid="{00000000-0006-0000-0700-000022000000}">
      <text>
        <r>
          <rPr>
            <sz val="10"/>
            <color rgb="FF000000"/>
            <rFont val="Arial"/>
            <family val="2"/>
            <scheme val="minor"/>
          </rPr>
          <t>indicated weight</t>
        </r>
      </text>
    </comment>
    <comment ref="G52" authorId="0" shapeId="0" xr:uid="{00000000-0006-0000-0700-000023000000}">
      <text>
        <r>
          <rPr>
            <sz val="10"/>
            <color rgb="FF000000"/>
            <rFont val="Arial"/>
            <family val="2"/>
            <scheme val="minor"/>
          </rPr>
          <t>indicated weight</t>
        </r>
      </text>
    </comment>
    <comment ref="G53" authorId="0" shapeId="0" xr:uid="{00000000-0006-0000-0700-000024000000}">
      <text>
        <r>
          <rPr>
            <sz val="10"/>
            <color rgb="FF000000"/>
            <rFont val="Arial"/>
            <family val="2"/>
            <scheme val="minor"/>
          </rPr>
          <t>indicated weight</t>
        </r>
      </text>
    </comment>
    <comment ref="A68" authorId="0" shapeId="0" xr:uid="{00000000-0006-0000-0700-000025000000}">
      <text>
        <r>
          <rPr>
            <sz val="10"/>
            <color rgb="FF000000"/>
            <rFont val="Arial"/>
            <family val="2"/>
            <scheme val="minor"/>
          </rPr>
          <t>applied load after taring</t>
        </r>
      </text>
    </comment>
    <comment ref="E68" authorId="0" shapeId="0" xr:uid="{00000000-0006-0000-0700-000026000000}">
      <text>
        <r>
          <rPr>
            <sz val="10"/>
            <color rgb="FF000000"/>
            <rFont val="Arial"/>
            <family val="2"/>
            <scheme val="minor"/>
          </rPr>
          <t xml:space="preserve">Indicated weight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L6" authorId="0" shapeId="0" xr:uid="{00000000-0006-0000-0800-000001000000}">
      <text>
        <r>
          <rPr>
            <sz val="10"/>
            <color rgb="FF000000"/>
            <rFont val="Arial"/>
            <family val="2"/>
            <scheme val="minor"/>
          </rPr>
          <t>RVO-No., name</t>
        </r>
      </text>
    </comment>
    <comment ref="L7" authorId="0" shapeId="0" xr:uid="{00000000-0006-0000-0800-000002000000}">
      <text>
        <r>
          <rPr>
            <sz val="10"/>
            <color rgb="FF000000"/>
            <rFont val="Arial"/>
            <family val="2"/>
            <scheme val="minor"/>
          </rPr>
          <t>Scale No (SCnnnn-nn-nn-nn)</t>
        </r>
      </text>
    </comment>
    <comment ref="L8" authorId="0" shapeId="0" xr:uid="{302EB0BF-C9E3-4E97-AEDB-C6F19BFC462E}">
      <text>
        <r>
          <rPr>
            <sz val="10"/>
            <color rgb="FF000000"/>
            <rFont val="Arial"/>
            <family val="2"/>
            <scheme val="minor"/>
          </rPr>
          <t>Serial-No. of indicator</t>
        </r>
      </text>
    </comment>
    <comment ref="D9" authorId="0" shapeId="0" xr:uid="{00000000-0006-0000-0800-000003000000}">
      <text>
        <r>
          <rPr>
            <sz val="10"/>
            <color rgb="FF000000"/>
            <rFont val="Arial"/>
            <family val="2"/>
            <scheme val="minor"/>
          </rPr>
          <t>Maximum load</t>
        </r>
      </text>
    </comment>
    <comment ref="L9" authorId="0" shapeId="0" xr:uid="{00000000-0006-0000-0800-000004000000}">
      <text>
        <r>
          <rPr>
            <sz val="10"/>
            <color rgb="FF000000"/>
            <rFont val="Arial"/>
            <family val="2"/>
            <scheme val="minor"/>
          </rPr>
          <t>TAC of indicator</t>
        </r>
      </text>
    </comment>
    <comment ref="D10" authorId="0" shapeId="0" xr:uid="{00000000-0006-0000-0800-000005000000}">
      <text>
        <r>
          <rPr>
            <sz val="10"/>
            <color rgb="FF000000"/>
            <rFont val="Arial"/>
            <family val="2"/>
            <scheme val="minor"/>
          </rPr>
          <t>Calibration value</t>
        </r>
      </text>
    </comment>
    <comment ref="L10" authorId="0" shapeId="0" xr:uid="{00000000-0006-0000-0800-000006000000}">
      <text>
        <r>
          <rPr>
            <sz val="10"/>
            <color rgb="FF000000"/>
            <rFont val="Arial"/>
            <family val="2"/>
            <scheme val="minor"/>
          </rPr>
          <t>Software of indicator</t>
        </r>
      </text>
    </comment>
    <comment ref="L12" authorId="0" shapeId="0" xr:uid="{00000000-0006-0000-0800-000007000000}">
      <text>
        <r>
          <rPr>
            <sz val="10"/>
            <color rgb="FF000000"/>
            <rFont val="Arial"/>
            <family val="2"/>
            <scheme val="minor"/>
          </rPr>
          <t>No. Test weight sets</t>
        </r>
      </text>
    </comment>
    <comment ref="P16" authorId="0" shapeId="0" xr:uid="{00000000-0006-0000-0800-000008000000}">
      <text>
        <r>
          <rPr>
            <sz val="10"/>
            <color rgb="FF000000"/>
            <rFont val="Arial"/>
            <family val="2"/>
            <scheme val="minor"/>
          </rPr>
          <t>Quantity of load cells</t>
        </r>
      </text>
    </comment>
    <comment ref="A20" authorId="0" shapeId="0" xr:uid="{00000000-0006-0000-0800-000009000000}">
      <text>
        <r>
          <rPr>
            <sz val="10"/>
            <color rgb="FF000000"/>
            <rFont val="Arial"/>
            <family val="2"/>
            <scheme val="minor"/>
          </rPr>
          <t>Sample load must be about</t>
        </r>
      </text>
    </comment>
    <comment ref="D20" authorId="0" shapeId="0" xr:uid="{00000000-0006-0000-0800-00000A000000}">
      <text>
        <r>
          <rPr>
            <sz val="10"/>
            <color rgb="FF000000"/>
            <rFont val="Arial"/>
            <family val="2"/>
            <scheme val="minor"/>
          </rPr>
          <t>actual Sample load</t>
        </r>
      </text>
    </comment>
    <comment ref="G20" authorId="0" shapeId="0" xr:uid="{00000000-0006-0000-0800-00000B000000}">
      <text>
        <r>
          <rPr>
            <sz val="10"/>
            <color rgb="FF000000"/>
            <rFont val="Arial"/>
            <family val="2"/>
            <scheme val="minor"/>
          </rPr>
          <t>Indication</t>
        </r>
      </text>
    </comment>
    <comment ref="I20" authorId="0" shapeId="0" xr:uid="{00000000-0006-0000-0800-00000C000000}">
      <text>
        <r>
          <rPr>
            <sz val="10"/>
            <color rgb="FF000000"/>
            <rFont val="Arial"/>
            <family val="2"/>
            <scheme val="minor"/>
          </rPr>
          <t>Indication error = I - L</t>
        </r>
      </text>
    </comment>
    <comment ref="K20" authorId="0" shapeId="0" xr:uid="{00000000-0006-0000-0800-00000D000000}">
      <text>
        <r>
          <rPr>
            <sz val="10"/>
            <color rgb="FF000000"/>
            <rFont val="Arial"/>
            <family val="2"/>
            <scheme val="minor"/>
          </rPr>
          <t>max. permissible error</t>
        </r>
      </text>
    </comment>
    <comment ref="B22" authorId="0" shapeId="0" xr:uid="{00000000-0006-0000-0800-00000E000000}">
      <text>
        <r>
          <rPr>
            <sz val="10"/>
            <color rgb="FF000000"/>
            <rFont val="Arial"/>
            <family val="2"/>
            <scheme val="minor"/>
          </rPr>
          <t>80%Max</t>
        </r>
      </text>
    </comment>
    <comment ref="E22" authorId="0" shapeId="0" xr:uid="{00000000-0006-0000-0800-00000F000000}">
      <text>
        <r>
          <rPr>
            <sz val="10"/>
            <color rgb="FF000000"/>
            <rFont val="Arial"/>
            <family val="2"/>
            <scheme val="minor"/>
          </rPr>
          <t>~80%Max</t>
        </r>
      </text>
    </comment>
    <comment ref="G22" authorId="0" shapeId="0" xr:uid="{00000000-0006-0000-0800-000010000000}">
      <text>
        <r>
          <rPr>
            <sz val="10"/>
            <color rgb="FF000000"/>
            <rFont val="Arial"/>
            <family val="2"/>
            <scheme val="minor"/>
          </rPr>
          <t>indicated weight</t>
        </r>
      </text>
    </comment>
    <comment ref="B23" authorId="0" shapeId="0" xr:uid="{00000000-0006-0000-0800-000011000000}">
      <text>
        <r>
          <rPr>
            <sz val="10"/>
            <color rgb="FF000000"/>
            <rFont val="Arial"/>
            <family val="2"/>
            <scheme val="minor"/>
          </rPr>
          <t>80%Max</t>
        </r>
      </text>
    </comment>
    <comment ref="E23" authorId="0" shapeId="0" xr:uid="{00000000-0006-0000-0800-000012000000}">
      <text>
        <r>
          <rPr>
            <sz val="10"/>
            <color rgb="FF000000"/>
            <rFont val="Arial"/>
            <family val="2"/>
            <scheme val="minor"/>
          </rPr>
          <t>~80%Max</t>
        </r>
      </text>
    </comment>
    <comment ref="B24" authorId="0" shapeId="0" xr:uid="{00000000-0006-0000-0800-000013000000}">
      <text>
        <r>
          <rPr>
            <sz val="10"/>
            <color rgb="FF000000"/>
            <rFont val="Arial"/>
            <family val="2"/>
            <scheme val="minor"/>
          </rPr>
          <t>80%Max</t>
        </r>
      </text>
    </comment>
    <comment ref="E24" authorId="0" shapeId="0" xr:uid="{00000000-0006-0000-0800-000014000000}">
      <text>
        <r>
          <rPr>
            <sz val="10"/>
            <color rgb="FF000000"/>
            <rFont val="Arial"/>
            <family val="2"/>
            <scheme val="minor"/>
          </rPr>
          <t>~80%Max</t>
        </r>
      </text>
    </comment>
    <comment ref="A29" authorId="0" shapeId="0" xr:uid="{00000000-0006-0000-0800-000015000000}">
      <text>
        <r>
          <rPr>
            <sz val="10"/>
            <color rgb="FF000000"/>
            <rFont val="Arial"/>
            <family val="2"/>
            <scheme val="minor"/>
          </rPr>
          <t>added load until the indication increases to 1e</t>
        </r>
      </text>
    </comment>
    <comment ref="A36" authorId="0" shapeId="0" xr:uid="{00000000-0006-0000-0800-000016000000}">
      <text>
        <r>
          <rPr>
            <sz val="10"/>
            <color rgb="FF000000"/>
            <rFont val="Arial"/>
            <family val="2"/>
            <scheme val="minor"/>
          </rPr>
          <t>added load until the indication increases to 1e</t>
        </r>
      </text>
    </comment>
    <comment ref="A43" authorId="0" shapeId="0" xr:uid="{00000000-0006-0000-0800-000017000000}">
      <text>
        <r>
          <rPr>
            <sz val="10"/>
            <color rgb="FF000000"/>
            <rFont val="Arial"/>
            <family val="2"/>
            <scheme val="minor"/>
          </rPr>
          <t>Sample load must be about</t>
        </r>
      </text>
    </comment>
    <comment ref="D43" authorId="0" shapeId="0" xr:uid="{00000000-0006-0000-0800-000018000000}">
      <text>
        <r>
          <rPr>
            <sz val="10"/>
            <color rgb="FF000000"/>
            <rFont val="Arial"/>
            <family val="2"/>
            <scheme val="minor"/>
          </rPr>
          <t>actual Sample load</t>
        </r>
      </text>
    </comment>
    <comment ref="G43" authorId="0" shapeId="0" xr:uid="{00000000-0006-0000-0800-000019000000}">
      <text>
        <r>
          <rPr>
            <sz val="10"/>
            <color rgb="FF000000"/>
            <rFont val="Arial"/>
            <family val="2"/>
            <scheme val="minor"/>
          </rPr>
          <t>Indication</t>
        </r>
      </text>
    </comment>
    <comment ref="I43" authorId="0" shapeId="0" xr:uid="{00000000-0006-0000-0800-00001A000000}">
      <text>
        <r>
          <rPr>
            <sz val="10"/>
            <color rgb="FF000000"/>
            <rFont val="Arial"/>
            <family val="2"/>
            <scheme val="minor"/>
          </rPr>
          <t>Indication error = I - L</t>
        </r>
      </text>
    </comment>
    <comment ref="K43" authorId="0" shapeId="0" xr:uid="{00000000-0006-0000-0800-00001B000000}">
      <text>
        <r>
          <rPr>
            <sz val="10"/>
            <color rgb="FF000000"/>
            <rFont val="Arial"/>
            <family val="2"/>
            <scheme val="minor"/>
          </rPr>
          <t>max. permissible error</t>
        </r>
      </text>
    </comment>
    <comment ref="G45" authorId="0" shapeId="0" xr:uid="{00000000-0006-0000-0800-00001C000000}">
      <text>
        <r>
          <rPr>
            <sz val="10"/>
            <color rgb="FF000000"/>
            <rFont val="Arial"/>
            <family val="2"/>
            <scheme val="minor"/>
          </rPr>
          <t>indicated weight</t>
        </r>
      </text>
    </comment>
    <comment ref="G46" authorId="0" shapeId="0" xr:uid="{00000000-0006-0000-0800-00001D000000}">
      <text>
        <r>
          <rPr>
            <sz val="10"/>
            <color rgb="FF000000"/>
            <rFont val="Arial"/>
            <family val="2"/>
            <scheme val="minor"/>
          </rPr>
          <t>indicated weight</t>
        </r>
      </text>
    </comment>
    <comment ref="G47" authorId="0" shapeId="0" xr:uid="{00000000-0006-0000-0800-00001E000000}">
      <text>
        <r>
          <rPr>
            <sz val="10"/>
            <color rgb="FF000000"/>
            <rFont val="Arial"/>
            <family val="2"/>
            <scheme val="minor"/>
          </rPr>
          <t>indicated weight</t>
        </r>
      </text>
    </comment>
    <comment ref="G48" authorId="0" shapeId="0" xr:uid="{00000000-0006-0000-0800-00001F000000}">
      <text>
        <r>
          <rPr>
            <sz val="10"/>
            <color rgb="FF000000"/>
            <rFont val="Arial"/>
            <family val="2"/>
            <scheme val="minor"/>
          </rPr>
          <t>indicated weight</t>
        </r>
      </text>
    </comment>
    <comment ref="G49" authorId="0" shapeId="0" xr:uid="{00000000-0006-0000-0800-000020000000}">
      <text>
        <r>
          <rPr>
            <sz val="10"/>
            <color rgb="FF000000"/>
            <rFont val="Arial"/>
            <family val="2"/>
            <scheme val="minor"/>
          </rPr>
          <t>indicated weight</t>
        </r>
      </text>
    </comment>
    <comment ref="G50" authorId="0" shapeId="0" xr:uid="{00000000-0006-0000-0800-000021000000}">
      <text>
        <r>
          <rPr>
            <sz val="10"/>
            <color rgb="FF000000"/>
            <rFont val="Arial"/>
            <family val="2"/>
            <scheme val="minor"/>
          </rPr>
          <t>indicated weight</t>
        </r>
      </text>
    </comment>
    <comment ref="G51" authorId="0" shapeId="0" xr:uid="{00000000-0006-0000-0800-000022000000}">
      <text>
        <r>
          <rPr>
            <sz val="10"/>
            <color rgb="FF000000"/>
            <rFont val="Arial"/>
            <family val="2"/>
            <scheme val="minor"/>
          </rPr>
          <t>indicated weight</t>
        </r>
      </text>
    </comment>
    <comment ref="G52" authorId="0" shapeId="0" xr:uid="{00000000-0006-0000-0800-000023000000}">
      <text>
        <r>
          <rPr>
            <sz val="10"/>
            <color rgb="FF000000"/>
            <rFont val="Arial"/>
            <family val="2"/>
            <scheme val="minor"/>
          </rPr>
          <t>indicated weight</t>
        </r>
      </text>
    </comment>
    <comment ref="G53" authorId="0" shapeId="0" xr:uid="{00000000-0006-0000-0800-000024000000}">
      <text>
        <r>
          <rPr>
            <sz val="10"/>
            <color rgb="FF000000"/>
            <rFont val="Arial"/>
            <family val="2"/>
            <scheme val="minor"/>
          </rPr>
          <t>indicated weight</t>
        </r>
      </text>
    </comment>
    <comment ref="A68" authorId="0" shapeId="0" xr:uid="{00000000-0006-0000-0800-000025000000}">
      <text>
        <r>
          <rPr>
            <sz val="10"/>
            <color rgb="FF000000"/>
            <rFont val="Arial"/>
            <family val="2"/>
            <scheme val="minor"/>
          </rPr>
          <t>applied load after taring</t>
        </r>
      </text>
    </comment>
    <comment ref="E68" authorId="0" shapeId="0" xr:uid="{00000000-0006-0000-0800-000026000000}">
      <text>
        <r>
          <rPr>
            <sz val="10"/>
            <color rgb="FF000000"/>
            <rFont val="Arial"/>
            <family val="2"/>
            <scheme val="minor"/>
          </rPr>
          <t xml:space="preserve">Indicated weight
</t>
        </r>
      </text>
    </comment>
    <comment ref="A90" authorId="0" shapeId="0" xr:uid="{00000000-0006-0000-0800-000027000000}">
      <text>
        <r>
          <rPr>
            <sz val="10"/>
            <color rgb="FF000000"/>
            <rFont val="Arial"/>
            <family val="2"/>
            <scheme val="minor"/>
          </rPr>
          <t>when n&lt;=4 points of support:  L~1/3Max; 
otherwise:  L~Max/(n-1)</t>
        </r>
      </text>
    </comment>
    <comment ref="A113" authorId="0" shapeId="0" xr:uid="{00000000-0006-0000-0800-000028000000}">
      <text>
        <r>
          <rPr>
            <sz val="10"/>
            <color rgb="FF000000"/>
            <rFont val="Arial"/>
            <family val="2"/>
            <scheme val="minor"/>
          </rPr>
          <t>when n&lt;=4 points of support:  L~1/3Max; 
otherwise:  L~Max/(n-1)</t>
        </r>
      </text>
    </comment>
  </commentList>
</comments>
</file>

<file path=xl/sharedStrings.xml><?xml version="1.0" encoding="utf-8"?>
<sst xmlns="http://schemas.openxmlformats.org/spreadsheetml/2006/main" count="1409" uniqueCount="152">
  <si>
    <t>English</t>
  </si>
  <si>
    <t xml:space="preserve"> Test passed? </t>
  </si>
  <si>
    <t>Deutsch</t>
  </si>
  <si>
    <t xml:space="preserve"> Test bestanden? </t>
  </si>
  <si>
    <t>III</t>
  </si>
  <si>
    <t>1.  Repeatability Test  (indicator in hi-res mode):</t>
  </si>
  <si>
    <t>accordance to OIML R76-1/R76-2</t>
  </si>
  <si>
    <t>* The zero tracking device should only be in operation for the repeatability test.</t>
  </si>
  <si>
    <t>load must be about</t>
  </si>
  <si>
    <t>* Die Nullnachführung darf nur bei der Prüfung der Wiederholbarkeit eingeschaltet sein</t>
  </si>
  <si>
    <t>Max 1  =</t>
  </si>
  <si>
    <t>kg</t>
  </si>
  <si>
    <t>ungefähre Last</t>
  </si>
  <si>
    <t>Max 2  =</t>
  </si>
  <si>
    <t>e 1  =</t>
  </si>
  <si>
    <t>e 2  =</t>
  </si>
  <si>
    <t>2.  Weighing / Linearity Test (Indicator in hi-res mode):</t>
  </si>
  <si>
    <t>accordance to DIN EN45501 - A.4.4</t>
  </si>
  <si>
    <t>n1=</t>
  </si>
  <si>
    <t>Language/Sprache:</t>
  </si>
  <si>
    <t>n2=</t>
  </si>
  <si>
    <t>2. Prüfung der Richtigkeit mit Normallast (Indikator in Hi-Res-Modus):</t>
  </si>
  <si>
    <t>Type:</t>
  </si>
  <si>
    <t>gemäß DIN EN45501-A.4.4</t>
  </si>
  <si>
    <t>3.  Eccentricity Test (Indicator in hi-res mode)</t>
  </si>
  <si>
    <t>accordance to DIN EN45501 - 3.6.2 (A.4.7)</t>
  </si>
  <si>
    <t>L</t>
  </si>
  <si>
    <t>I</t>
  </si>
  <si>
    <t>I error</t>
  </si>
  <si>
    <t>mpe</t>
  </si>
  <si>
    <t>OK?</t>
  </si>
  <si>
    <t>Load position</t>
  </si>
  <si>
    <t>[e]</t>
  </si>
  <si>
    <t>[kg]</t>
  </si>
  <si>
    <t>[Y,N]</t>
  </si>
  <si>
    <t>3.  Prüfung bei Außermittiger Belastung (Indicator in hi-res mode)</t>
  </si>
  <si>
    <t>Belastungsort</t>
  </si>
  <si>
    <t>gemäß DIN EN45501 - 3.6.2 (A.4.7)</t>
  </si>
  <si>
    <t>number of load carrier</t>
  </si>
  <si>
    <t>Set-No. of Standard-Weights in use</t>
  </si>
  <si>
    <r>
      <rPr>
        <sz val="9"/>
        <color theme="1"/>
        <rFont val="Calibri"/>
        <family val="2"/>
      </rPr>
      <t>Δ</t>
    </r>
    <r>
      <rPr>
        <sz val="9"/>
        <color theme="1"/>
        <rFont val="Arial"/>
        <family val="2"/>
      </rPr>
      <t xml:space="preserve"> I error:</t>
    </r>
  </si>
  <si>
    <t>Load positions in one line (e.g. weighing belt)?</t>
  </si>
  <si>
    <t>Firmware type and version:</t>
  </si>
  <si>
    <t>Anzahl Auflager</t>
  </si>
  <si>
    <r>
      <rPr>
        <sz val="9"/>
        <color theme="1"/>
        <rFont val="Arial"/>
        <family val="2"/>
      </rPr>
      <t>TAC</t>
    </r>
    <r>
      <rPr>
        <sz val="8"/>
        <color theme="1"/>
        <rFont val="Arial"/>
        <family val="2"/>
      </rPr>
      <t>(Type Approval Certificate) Indicator</t>
    </r>
  </si>
  <si>
    <t>Belastungsorte in einer Reihe (z.B. Bandwaage)?</t>
  </si>
  <si>
    <t xml:space="preserve">Test Weight Calibrations Current?           </t>
  </si>
  <si>
    <r>
      <rPr>
        <sz val="9"/>
        <color theme="1"/>
        <rFont val="Calibri"/>
        <family val="2"/>
      </rPr>
      <t>Δ</t>
    </r>
    <r>
      <rPr>
        <sz val="9"/>
        <color theme="1"/>
        <rFont val="Arial"/>
        <family val="2"/>
      </rPr>
      <t xml:space="preserve"> I error:</t>
    </r>
  </si>
  <si>
    <t>ΔL</t>
  </si>
  <si>
    <t>Error at Zero</t>
  </si>
  <si>
    <t>E = I + 1/2e – ΔL - L</t>
  </si>
  <si>
    <t>Error at Tare</t>
  </si>
  <si>
    <r>
      <rPr>
        <sz val="8"/>
        <color theme="1"/>
        <rFont val="Arial"/>
        <family val="2"/>
      </rPr>
      <t xml:space="preserve">Eerror - </t>
    </r>
    <r>
      <rPr>
        <sz val="9"/>
        <color theme="1"/>
        <rFont val="Arial"/>
        <family val="2"/>
      </rPr>
      <t>Ezero</t>
    </r>
  </si>
  <si>
    <t>4.  Accuracy of Zero Device (hi-res mode: off):</t>
  </si>
  <si>
    <t>accordance to DIN EN45501 - 4.5.2 (A4.2.3)</t>
  </si>
  <si>
    <t>4.  Prüfung der Genauigkeit der Nullstellung (Hi-Res-Modus aus):</t>
  </si>
  <si>
    <t>gemäß DIN EN45501 - 4.5.2 (A4.2.3)</t>
  </si>
  <si>
    <t>5.  Accuracy of Tare Device - Apply a load between 1/3 Max and 2/3 Max  (hi-res mode: off):</t>
  </si>
  <si>
    <t>5.  Prüfung der Taraeinrichung - Last zwischen 1/3 bis 2/3 Max aufbringen  (Hi-Res-Modus: off):</t>
  </si>
  <si>
    <t>gemäß DIN EN45501 - 4.6.3 (A.4.6.2)</t>
  </si>
  <si>
    <t>6. Discrimination test (hi-res mode: off)</t>
  </si>
  <si>
    <t>accordance to DIN EN45501 - 3.8 (A.4.8)</t>
  </si>
  <si>
    <t xml:space="preserve">Testing at three different loads, e.g. Min, 50% Max and Max </t>
  </si>
  <si>
    <t>6. Prüfung des Ansprechvermögens und der Empfindlichkeit (Hi-Res-Modus: aus)</t>
  </si>
  <si>
    <t xml:space="preserve">Prüfung bei drei unterschiedlichen Lasten, z.B. Min, 50% Max und Max </t>
  </si>
  <si>
    <t>gemäß DIN EN45501 - 3.8 (A.4.8)</t>
  </si>
  <si>
    <t>Nach Ablesen der Anzeige I 1 soll vorsichtig eine zusätzliche Last von insgesamt 1,4d aufgebracht werden.</t>
  </si>
  <si>
    <t>7.  Earth Gravity</t>
  </si>
  <si>
    <t>Verification for: g=</t>
  </si>
  <si>
    <t>Not required</t>
  </si>
  <si>
    <t>7.  Fallbeschleunigung</t>
  </si>
  <si>
    <t>Prüfung für: g=</t>
  </si>
  <si>
    <t>e</t>
  </si>
  <si>
    <t xml:space="preserve">E error </t>
  </si>
  <si>
    <r>
      <rPr>
        <sz val="8"/>
        <color theme="1"/>
        <rFont val="Arial"/>
        <family val="2"/>
      </rPr>
      <t xml:space="preserve">Eerror - </t>
    </r>
    <r>
      <rPr>
        <sz val="9"/>
        <color theme="1"/>
        <rFont val="Arial"/>
        <family val="2"/>
      </rPr>
      <t>Etare</t>
    </r>
  </si>
  <si>
    <t>vernachlässigbar</t>
  </si>
  <si>
    <t xml:space="preserve"> </t>
  </si>
  <si>
    <t xml:space="preserve">    </t>
  </si>
  <si>
    <t>N</t>
  </si>
  <si>
    <t>pos</t>
  </si>
  <si>
    <t>X</t>
  </si>
  <si>
    <t>e error</t>
  </si>
  <si>
    <r>
      <rPr>
        <sz val="9"/>
        <color theme="1"/>
        <rFont val="Calibri"/>
        <family val="2"/>
      </rPr>
      <t>Δ</t>
    </r>
    <r>
      <rPr>
        <sz val="9"/>
        <color theme="1"/>
        <rFont val="Arial"/>
        <family val="2"/>
      </rPr>
      <t xml:space="preserve"> I error:</t>
    </r>
  </si>
  <si>
    <r>
      <rPr>
        <sz val="9"/>
        <color theme="1"/>
        <rFont val="Arial"/>
        <family val="2"/>
      </rPr>
      <t>TAC</t>
    </r>
    <r>
      <rPr>
        <sz val="8"/>
        <color theme="1"/>
        <rFont val="Arial"/>
        <family val="2"/>
      </rPr>
      <t>(Type Approval Certificate) Indicator</t>
    </r>
  </si>
  <si>
    <r>
      <rPr>
        <sz val="9"/>
        <color theme="1"/>
        <rFont val="Calibri"/>
        <family val="2"/>
      </rPr>
      <t>Δ</t>
    </r>
    <r>
      <rPr>
        <sz val="9"/>
        <color theme="1"/>
        <rFont val="Arial"/>
        <family val="2"/>
      </rPr>
      <t xml:space="preserve"> I error:</t>
    </r>
  </si>
  <si>
    <t>=</t>
  </si>
  <si>
    <r>
      <rPr>
        <sz val="8"/>
        <color theme="1"/>
        <rFont val="Arial"/>
        <family val="2"/>
      </rPr>
      <t xml:space="preserve">Eerror - </t>
    </r>
    <r>
      <rPr>
        <sz val="9"/>
        <color theme="1"/>
        <rFont val="Arial"/>
        <family val="2"/>
      </rPr>
      <t>Ezero</t>
    </r>
  </si>
  <si>
    <r>
      <rPr>
        <sz val="8"/>
        <color theme="1"/>
        <rFont val="Arial"/>
        <family val="2"/>
      </rPr>
      <t xml:space="preserve">Eerror - </t>
    </r>
    <r>
      <rPr>
        <sz val="9"/>
        <color theme="1"/>
        <rFont val="Arial"/>
        <family val="2"/>
      </rPr>
      <t>Etare</t>
    </r>
  </si>
  <si>
    <r>
      <rPr>
        <sz val="9"/>
        <color theme="1"/>
        <rFont val="Calibri"/>
        <family val="2"/>
      </rPr>
      <t>Δ</t>
    </r>
    <r>
      <rPr>
        <sz val="9"/>
        <color theme="1"/>
        <rFont val="Arial"/>
        <family val="2"/>
      </rPr>
      <t xml:space="preserve"> I error:</t>
    </r>
  </si>
  <si>
    <r>
      <rPr>
        <sz val="9"/>
        <color theme="1"/>
        <rFont val="Arial"/>
        <family val="2"/>
      </rPr>
      <t>TAC</t>
    </r>
    <r>
      <rPr>
        <sz val="8"/>
        <color theme="1"/>
        <rFont val="Arial"/>
        <family val="2"/>
      </rPr>
      <t>(Type Approval Certificate) Indicator</t>
    </r>
  </si>
  <si>
    <r>
      <rPr>
        <sz val="9"/>
        <color theme="1"/>
        <rFont val="Calibri"/>
        <family val="2"/>
      </rPr>
      <t>Δ</t>
    </r>
    <r>
      <rPr>
        <sz val="9"/>
        <color theme="1"/>
        <rFont val="Arial"/>
        <family val="2"/>
      </rPr>
      <t xml:space="preserve"> I error:</t>
    </r>
  </si>
  <si>
    <r>
      <rPr>
        <sz val="8"/>
        <color theme="1"/>
        <rFont val="Arial"/>
        <family val="2"/>
      </rPr>
      <t xml:space="preserve">Eerror - </t>
    </r>
    <r>
      <rPr>
        <sz val="9"/>
        <color theme="1"/>
        <rFont val="Arial"/>
        <family val="2"/>
      </rPr>
      <t>Ezero</t>
    </r>
  </si>
  <si>
    <r>
      <rPr>
        <sz val="8"/>
        <color theme="1"/>
        <rFont val="Arial"/>
        <family val="2"/>
      </rPr>
      <t xml:space="preserve">Eerror - </t>
    </r>
    <r>
      <rPr>
        <sz val="9"/>
        <color theme="1"/>
        <rFont val="Arial"/>
        <family val="2"/>
      </rPr>
      <t>Etare</t>
    </r>
  </si>
  <si>
    <t>&lt; L &lt;</t>
  </si>
  <si>
    <t>Dimension</t>
  </si>
  <si>
    <t>m</t>
  </si>
  <si>
    <t>x</t>
  </si>
  <si>
    <t>Ierror</t>
  </si>
  <si>
    <t>Max  =</t>
  </si>
  <si>
    <t>e  =</t>
  </si>
  <si>
    <r>
      <rPr>
        <sz val="9"/>
        <color theme="1"/>
        <rFont val="Calibri"/>
        <family val="2"/>
      </rPr>
      <t>Δ</t>
    </r>
    <r>
      <rPr>
        <sz val="9"/>
        <color theme="1"/>
        <rFont val="Arial"/>
        <family val="2"/>
      </rPr>
      <t xml:space="preserve"> I error:</t>
    </r>
  </si>
  <si>
    <t>E error</t>
  </si>
  <si>
    <r>
      <rPr>
        <sz val="8"/>
        <color theme="1"/>
        <rFont val="Arial"/>
        <family val="2"/>
      </rPr>
      <t xml:space="preserve">Eerror - </t>
    </r>
    <r>
      <rPr>
        <sz val="9"/>
        <color theme="1"/>
        <rFont val="Arial"/>
        <family val="2"/>
      </rPr>
      <t>Ezero</t>
    </r>
  </si>
  <si>
    <r>
      <rPr>
        <sz val="8"/>
        <color theme="1"/>
        <rFont val="Arial"/>
        <family val="2"/>
      </rPr>
      <t xml:space="preserve">Eerror - </t>
    </r>
    <r>
      <rPr>
        <sz val="9"/>
        <color theme="1"/>
        <rFont val="Arial"/>
        <family val="2"/>
      </rPr>
      <t>Etare</t>
    </r>
  </si>
  <si>
    <t>M</t>
  </si>
  <si>
    <t>http://www.ptb.de/cartoweb3/SISproject.php</t>
  </si>
  <si>
    <r>
      <rPr>
        <b/>
        <sz val="9"/>
        <color theme="1"/>
        <rFont val="Arial"/>
        <family val="2"/>
      </rPr>
      <t>[m/s</t>
    </r>
    <r>
      <rPr>
        <b/>
        <sz val="9"/>
        <color theme="1"/>
        <rFont val="Calibri"/>
        <family val="2"/>
      </rPr>
      <t>²</t>
    </r>
    <r>
      <rPr>
        <b/>
        <sz val="9"/>
        <color theme="1"/>
        <rFont val="Arial"/>
        <family val="2"/>
      </rPr>
      <t>]</t>
    </r>
  </si>
  <si>
    <r>
      <rPr>
        <b/>
        <sz val="9"/>
        <color theme="1"/>
        <rFont val="Arial"/>
        <family val="2"/>
      </rPr>
      <t>[m/s</t>
    </r>
    <r>
      <rPr>
        <b/>
        <sz val="9"/>
        <color theme="1"/>
        <rFont val="Calibri"/>
        <family val="2"/>
      </rPr>
      <t>²</t>
    </r>
    <r>
      <rPr>
        <b/>
        <sz val="9"/>
        <color theme="1"/>
        <rFont val="Arial"/>
        <family val="2"/>
      </rPr>
      <t>]</t>
    </r>
  </si>
  <si>
    <r>
      <rPr>
        <sz val="9"/>
        <color theme="1"/>
        <rFont val="Calibri"/>
        <family val="2"/>
      </rPr>
      <t>Δ</t>
    </r>
    <r>
      <rPr>
        <sz val="9"/>
        <color theme="1"/>
        <rFont val="Arial"/>
        <family val="2"/>
      </rPr>
      <t xml:space="preserve"> I error:</t>
    </r>
  </si>
  <si>
    <t>Eerror - Ezero</t>
  </si>
  <si>
    <t>OK</t>
  </si>
  <si>
    <r>
      <rPr>
        <sz val="8"/>
        <color theme="1"/>
        <rFont val="Arial"/>
        <family val="2"/>
      </rPr>
      <t xml:space="preserve">Eerror - </t>
    </r>
    <r>
      <rPr>
        <sz val="9"/>
        <color theme="1"/>
        <rFont val="Arial"/>
        <family val="2"/>
      </rPr>
      <t>Etare</t>
    </r>
  </si>
  <si>
    <r>
      <rPr>
        <b/>
        <sz val="9"/>
        <color theme="1"/>
        <rFont val="Arial"/>
        <family val="2"/>
      </rPr>
      <t>[m/s</t>
    </r>
    <r>
      <rPr>
        <b/>
        <sz val="9"/>
        <color theme="1"/>
        <rFont val="Calibri"/>
        <family val="2"/>
      </rPr>
      <t>²</t>
    </r>
    <r>
      <rPr>
        <b/>
        <sz val="9"/>
        <color theme="1"/>
        <rFont val="Arial"/>
        <family val="2"/>
      </rPr>
      <t>]</t>
    </r>
  </si>
  <si>
    <r>
      <rPr>
        <b/>
        <sz val="9"/>
        <color theme="1"/>
        <rFont val="Arial"/>
        <family val="2"/>
      </rPr>
      <t>[m/s</t>
    </r>
    <r>
      <rPr>
        <b/>
        <sz val="9"/>
        <color theme="1"/>
        <rFont val="Calibri"/>
        <family val="2"/>
      </rPr>
      <t>²</t>
    </r>
    <r>
      <rPr>
        <b/>
        <sz val="9"/>
        <color theme="1"/>
        <rFont val="Arial"/>
        <family val="2"/>
      </rPr>
      <t>]</t>
    </r>
  </si>
  <si>
    <r>
      <rPr>
        <sz val="9"/>
        <color theme="1"/>
        <rFont val="Calibri"/>
        <family val="2"/>
      </rPr>
      <t>Δ</t>
    </r>
    <r>
      <rPr>
        <sz val="9"/>
        <color theme="1"/>
        <rFont val="Arial"/>
        <family val="2"/>
      </rPr>
      <t xml:space="preserve"> I error:</t>
    </r>
  </si>
  <si>
    <r>
      <rPr>
        <sz val="8"/>
        <color theme="1"/>
        <rFont val="Arial"/>
        <family val="2"/>
      </rPr>
      <t xml:space="preserve">Eerror - </t>
    </r>
    <r>
      <rPr>
        <sz val="9"/>
        <color theme="1"/>
        <rFont val="Arial"/>
        <family val="2"/>
      </rPr>
      <t>Etare</t>
    </r>
  </si>
  <si>
    <r>
      <rPr>
        <b/>
        <sz val="9"/>
        <color theme="1"/>
        <rFont val="Arial"/>
        <family val="2"/>
      </rPr>
      <t>[m/s</t>
    </r>
    <r>
      <rPr>
        <b/>
        <sz val="9"/>
        <color theme="1"/>
        <rFont val="Calibri"/>
        <family val="2"/>
      </rPr>
      <t>²</t>
    </r>
    <r>
      <rPr>
        <b/>
        <sz val="9"/>
        <color theme="1"/>
        <rFont val="Arial"/>
        <family val="2"/>
      </rPr>
      <t>]</t>
    </r>
  </si>
  <si>
    <r>
      <rPr>
        <b/>
        <sz val="9"/>
        <color theme="1"/>
        <rFont val="Arial"/>
        <family val="2"/>
      </rPr>
      <t>[m/s</t>
    </r>
    <r>
      <rPr>
        <b/>
        <sz val="9"/>
        <color theme="1"/>
        <rFont val="Calibri"/>
        <family val="2"/>
      </rPr>
      <t>²</t>
    </r>
    <r>
      <rPr>
        <b/>
        <sz val="9"/>
        <color theme="1"/>
        <rFont val="Arial"/>
        <family val="2"/>
      </rPr>
      <t>]</t>
    </r>
  </si>
  <si>
    <r>
      <rPr>
        <sz val="9"/>
        <color theme="1"/>
        <rFont val="Calibri"/>
        <family val="2"/>
      </rPr>
      <t>Δ</t>
    </r>
    <r>
      <rPr>
        <sz val="9"/>
        <color theme="1"/>
        <rFont val="Arial"/>
        <family val="2"/>
      </rPr>
      <t xml:space="preserve"> I error:</t>
    </r>
  </si>
  <si>
    <r>
      <rPr>
        <sz val="8"/>
        <color theme="1"/>
        <rFont val="Arial"/>
        <family val="2"/>
      </rPr>
      <t xml:space="preserve">Eerror - </t>
    </r>
    <r>
      <rPr>
        <sz val="9"/>
        <color theme="1"/>
        <rFont val="Arial"/>
        <family val="2"/>
      </rPr>
      <t>Etare</t>
    </r>
  </si>
  <si>
    <r>
      <rPr>
        <sz val="9"/>
        <color theme="1"/>
        <rFont val="Calibri"/>
        <family val="2"/>
      </rPr>
      <t>Δ</t>
    </r>
    <r>
      <rPr>
        <sz val="9"/>
        <color theme="1"/>
        <rFont val="Arial"/>
        <family val="2"/>
      </rPr>
      <t xml:space="preserve"> I error:</t>
    </r>
  </si>
  <si>
    <r>
      <rPr>
        <sz val="8"/>
        <color theme="1"/>
        <rFont val="Arial"/>
        <family val="2"/>
      </rPr>
      <t xml:space="preserve">Eerror - </t>
    </r>
    <r>
      <rPr>
        <sz val="9"/>
        <color theme="1"/>
        <rFont val="Arial"/>
        <family val="2"/>
      </rPr>
      <t>Ezero</t>
    </r>
  </si>
  <si>
    <r>
      <rPr>
        <sz val="8"/>
        <color theme="1"/>
        <rFont val="Arial"/>
        <family val="2"/>
      </rPr>
      <t xml:space="preserve">Eerror - </t>
    </r>
    <r>
      <rPr>
        <sz val="9"/>
        <color theme="1"/>
        <rFont val="Arial"/>
        <family val="2"/>
      </rPr>
      <t>Etare</t>
    </r>
  </si>
  <si>
    <t>DIN45501-2015: 3.6.2</t>
  </si>
  <si>
    <t>(country of installation)</t>
  </si>
  <si>
    <r>
      <rPr>
        <sz val="9"/>
        <color theme="1"/>
        <rFont val="Calibri"/>
        <family val="2"/>
      </rPr>
      <t>Δ</t>
    </r>
    <r>
      <rPr>
        <sz val="9"/>
        <color theme="1"/>
        <rFont val="Arial"/>
        <family val="2"/>
      </rPr>
      <t xml:space="preserve"> I error:</t>
    </r>
  </si>
  <si>
    <r>
      <rPr>
        <sz val="8"/>
        <color theme="1"/>
        <rFont val="Arial"/>
        <family val="2"/>
      </rPr>
      <t xml:space="preserve">Eerror - </t>
    </r>
    <r>
      <rPr>
        <sz val="9"/>
        <color theme="1"/>
        <rFont val="Arial"/>
        <family val="2"/>
      </rPr>
      <t>Ezero</t>
    </r>
  </si>
  <si>
    <r>
      <rPr>
        <sz val="8"/>
        <color theme="1"/>
        <rFont val="Arial"/>
        <family val="2"/>
      </rPr>
      <t xml:space="preserve">Eerror - </t>
    </r>
    <r>
      <rPr>
        <sz val="9"/>
        <color theme="1"/>
        <rFont val="Arial"/>
        <family val="2"/>
      </rPr>
      <t>Etare</t>
    </r>
  </si>
  <si>
    <t>the scale must be zeroed in reference position, then read indication at Zero and Max in reference and in tilted positions.</t>
  </si>
  <si>
    <t>Reference position</t>
  </si>
  <si>
    <t>Tilted position</t>
  </si>
  <si>
    <t>2e=</t>
  </si>
  <si>
    <t>indication</t>
  </si>
  <si>
    <t>Error</t>
  </si>
  <si>
    <t>Etotal</t>
  </si>
  <si>
    <t>Test passed?</t>
  </si>
  <si>
    <t>IV</t>
  </si>
  <si>
    <r>
      <rPr>
        <sz val="9"/>
        <color theme="1"/>
        <rFont val="Calibri"/>
        <family val="2"/>
      </rPr>
      <t>Δ</t>
    </r>
    <r>
      <rPr>
        <sz val="9"/>
        <color theme="1"/>
        <rFont val="Arial"/>
        <family val="2"/>
      </rPr>
      <t xml:space="preserve"> I error:</t>
    </r>
  </si>
  <si>
    <t>Inclination</t>
  </si>
  <si>
    <t>[Grad°]</t>
  </si>
  <si>
    <t>Rerference position</t>
  </si>
  <si>
    <t xml:space="preserve"> + 5°</t>
  </si>
  <si>
    <t>Vehicle front lifted</t>
  </si>
  <si>
    <t>Vehicle rear lifted</t>
  </si>
  <si>
    <t>Vehicle right lifted</t>
  </si>
  <si>
    <t>Vehicle left lifted</t>
  </si>
  <si>
    <t>1. Prüfung der Wiederholbarkeit (Indikator in Hi-Res-Modus):</t>
  </si>
  <si>
    <t>gemäß OIML R76-1/R76-2</t>
  </si>
  <si>
    <r>
      <rPr>
        <sz val="9"/>
        <color theme="1"/>
        <rFont val="Calibri"/>
        <family val="2"/>
      </rPr>
      <t>Δ</t>
    </r>
    <r>
      <rPr>
        <sz val="9"/>
        <color theme="1"/>
        <rFont val="Arial"/>
        <family val="2"/>
      </rPr>
      <t xml:space="preserve"> I error:</t>
    </r>
  </si>
  <si>
    <r>
      <rPr>
        <sz val="9"/>
        <color theme="1"/>
        <rFont val="Arial"/>
        <family val="2"/>
      </rPr>
      <t>TAC</t>
    </r>
    <r>
      <rPr>
        <sz val="8"/>
        <color theme="1"/>
        <rFont val="Arial"/>
        <family val="2"/>
      </rPr>
      <t>(Type Approval Certificate) Indicator</t>
    </r>
  </si>
  <si>
    <r>
      <rPr>
        <sz val="9"/>
        <color theme="1"/>
        <rFont val="Calibri"/>
        <family val="2"/>
      </rPr>
      <t>Δ</t>
    </r>
    <r>
      <rPr>
        <sz val="9"/>
        <color theme="1"/>
        <rFont val="Arial"/>
        <family val="2"/>
      </rPr>
      <t xml:space="preserve"> I error:</t>
    </r>
  </si>
  <si>
    <r>
      <rPr>
        <sz val="8"/>
        <color theme="1"/>
        <rFont val="Arial"/>
        <family val="2"/>
      </rPr>
      <t xml:space="preserve">Eerror - </t>
    </r>
    <r>
      <rPr>
        <sz val="9"/>
        <color theme="1"/>
        <rFont val="Arial"/>
        <family val="2"/>
      </rPr>
      <t>Ezero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</si>
</sst>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00"/>
    <numFmt numFmtId="166" formatCode="0.0000"/>
    <numFmt numFmtId="167" formatCode="0.0"/>
    <numFmt numFmtId="168" formatCode="#,##0.0"/>
    <numFmt numFmtId="169" formatCode="#,##0.0000"/>
  </numFmts>
  <fonts count="36">
    <font>
      <sz val="10"/>
      <color rgb="FF000000"/>
      <name val="Arial"/>
      <scheme val="minor"/>
    </font>
    <font>
      <sz val="9"/>
      <color theme="1"/>
      <name val="Arial"/>
      <family val="2"/>
    </font>
    <font>
      <b/>
      <i/>
      <sz val="16"/>
      <color theme="1"/>
      <name val="Arial"/>
      <family val="2"/>
    </font>
    <font>
      <sz val="10"/>
      <name val="Arial"/>
      <family val="2"/>
    </font>
    <font>
      <b/>
      <i/>
      <sz val="9"/>
      <color theme="1"/>
      <name val="Arial"/>
      <family val="2"/>
    </font>
    <font>
      <b/>
      <sz val="9"/>
      <color theme="1"/>
      <name val="Arial"/>
      <family val="2"/>
    </font>
    <font>
      <sz val="10"/>
      <color theme="1"/>
      <name val="Arial"/>
      <family val="2"/>
    </font>
    <font>
      <b/>
      <sz val="9"/>
      <color rgb="FFFF0000"/>
      <name val="Arial"/>
      <family val="2"/>
    </font>
    <font>
      <sz val="8"/>
      <color theme="1"/>
      <name val="Arial"/>
      <family val="2"/>
    </font>
    <font>
      <b/>
      <sz val="10"/>
      <color rgb="FFFF0000"/>
      <name val="Arial"/>
      <family val="2"/>
    </font>
    <font>
      <b/>
      <sz val="10"/>
      <color theme="1"/>
      <name val="Arial"/>
      <family val="2"/>
    </font>
    <font>
      <sz val="9"/>
      <color rgb="FF000000"/>
      <name val="Arial"/>
      <family val="2"/>
    </font>
    <font>
      <sz val="10"/>
      <color rgb="FFFF0000"/>
      <name val="Arial"/>
      <family val="2"/>
    </font>
    <font>
      <u/>
      <sz val="9"/>
      <color rgb="FFFF0000"/>
      <name val="Arial"/>
      <family val="2"/>
    </font>
    <font>
      <b/>
      <sz val="10"/>
      <color theme="1"/>
      <name val="Noto Sans Symbols"/>
    </font>
    <font>
      <b/>
      <sz val="11"/>
      <color theme="1"/>
      <name val="Arial"/>
      <family val="2"/>
    </font>
    <font>
      <b/>
      <sz val="12"/>
      <color theme="1"/>
      <name val="Arial"/>
      <family val="2"/>
    </font>
    <font>
      <sz val="11"/>
      <color theme="1"/>
      <name val="Calibri"/>
      <family val="2"/>
    </font>
    <font>
      <b/>
      <sz val="11"/>
      <color theme="1"/>
      <name val="Calibri"/>
      <family val="2"/>
    </font>
    <font>
      <b/>
      <i/>
      <sz val="12"/>
      <color theme="1"/>
      <name val="Arial"/>
      <family val="2"/>
    </font>
    <font>
      <sz val="6"/>
      <color theme="1"/>
      <name val="Arial"/>
      <family val="2"/>
    </font>
    <font>
      <b/>
      <sz val="8"/>
      <color theme="1"/>
      <name val="Arial"/>
      <family val="2"/>
    </font>
    <font>
      <b/>
      <sz val="6"/>
      <color theme="1"/>
      <name val="Arial Narrow"/>
      <family val="2"/>
    </font>
    <font>
      <sz val="9"/>
      <color theme="1"/>
      <name val="Calibri"/>
      <family val="2"/>
    </font>
    <font>
      <b/>
      <sz val="9"/>
      <color theme="1"/>
      <name val="Calibri"/>
      <family val="2"/>
    </font>
    <font>
      <sz val="16"/>
      <color theme="1"/>
      <name val="Arial"/>
      <family val="2"/>
    </font>
    <font>
      <b/>
      <i/>
      <sz val="14"/>
      <color theme="1"/>
      <name val="Arial"/>
      <family val="2"/>
    </font>
    <font>
      <sz val="14"/>
      <color theme="1"/>
      <name val="Arial"/>
      <family val="2"/>
    </font>
    <font>
      <sz val="14"/>
      <color rgb="FF000000"/>
      <name val="Arial"/>
      <family val="2"/>
      <scheme val="minor"/>
    </font>
    <font>
      <sz val="12"/>
      <color theme="1"/>
      <name val="Arial"/>
      <family val="2"/>
    </font>
    <font>
      <b/>
      <i/>
      <sz val="12"/>
      <color theme="1"/>
      <name val="Arial"/>
      <family val="2"/>
    </font>
    <font>
      <sz val="12"/>
      <color rgb="FF000000"/>
      <name val="Arial"/>
      <family val="2"/>
      <scheme val="minor"/>
    </font>
    <font>
      <sz val="11"/>
      <color theme="1"/>
      <name val="Arial"/>
      <family val="2"/>
    </font>
    <font>
      <b/>
      <i/>
      <sz val="11"/>
      <color theme="1"/>
      <name val="Arial"/>
      <family val="2"/>
    </font>
    <font>
      <sz val="11"/>
      <color rgb="FF000000"/>
      <name val="Arial"/>
      <family val="2"/>
      <scheme val="minor"/>
    </font>
    <font>
      <sz val="10"/>
      <color rgb="FF000000"/>
      <name val="Arial"/>
      <family val="2"/>
      <scheme val="minor"/>
    </font>
  </fonts>
  <fills count="7">
    <fill>
      <patternFill patternType="none"/>
    </fill>
    <fill>
      <patternFill patternType="gray125"/>
    </fill>
    <fill>
      <patternFill patternType="solid">
        <fgColor rgb="FFFFCC99"/>
        <bgColor rgb="FFFFCC99"/>
      </patternFill>
    </fill>
    <fill>
      <patternFill patternType="solid">
        <fgColor rgb="FFFABF8F"/>
        <bgColor rgb="FFFABF8F"/>
      </patternFill>
    </fill>
    <fill>
      <patternFill patternType="solid">
        <fgColor rgb="FFCCFFFF"/>
        <bgColor rgb="FFCCFFFF"/>
      </patternFill>
    </fill>
    <fill>
      <patternFill patternType="solid">
        <fgColor theme="0"/>
        <bgColor theme="0"/>
      </patternFill>
    </fill>
    <fill>
      <patternFill patternType="solid">
        <fgColor rgb="FFFFFF00"/>
        <bgColor rgb="FFFFFF00"/>
      </patternFill>
    </fill>
  </fills>
  <borders count="45">
    <border>
      <left/>
      <right/>
      <top/>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right style="double">
        <color rgb="FF000000"/>
      </right>
      <top style="thin">
        <color rgb="FF000000"/>
      </top>
      <bottom/>
      <diagonal/>
    </border>
    <border>
      <left style="double">
        <color rgb="FF000000"/>
      </left>
      <right/>
      <top/>
      <bottom style="thin">
        <color rgb="FF000000"/>
      </bottom>
      <diagonal/>
    </border>
    <border>
      <left/>
      <right style="double">
        <color rgb="FF000000"/>
      </right>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style="thick">
        <color rgb="FF000000"/>
      </bottom>
      <diagonal/>
    </border>
    <border>
      <left/>
      <right style="medium">
        <color rgb="FF000000"/>
      </right>
      <top/>
      <bottom/>
      <diagonal/>
    </border>
    <border>
      <left style="medium">
        <color rgb="FF000000"/>
      </left>
      <right style="thin">
        <color rgb="FF000000"/>
      </right>
      <top style="thick">
        <color rgb="FF000000"/>
      </top>
      <bottom/>
      <diagonal/>
    </border>
    <border>
      <left/>
      <right style="thin">
        <color rgb="FF000000"/>
      </right>
      <top style="thick">
        <color rgb="FF000000"/>
      </top>
      <bottom/>
      <diagonal/>
    </border>
    <border>
      <left/>
      <right style="medium">
        <color rgb="FF000000"/>
      </right>
      <top style="thick">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style="thin">
        <color rgb="FF000000"/>
      </left>
      <right style="thin">
        <color rgb="FF000000"/>
      </right>
      <top/>
      <bottom style="thin">
        <color rgb="FF000000"/>
      </bottom>
      <diagonal/>
    </border>
    <border>
      <left/>
      <right/>
      <top/>
      <bottom style="thin">
        <color rgb="FF000000"/>
      </bottom>
      <diagonal/>
    </border>
    <border>
      <left style="thin">
        <color theme="0"/>
      </left>
      <right style="thin">
        <color theme="0"/>
      </right>
      <top style="thin">
        <color theme="0"/>
      </top>
      <bottom style="thin">
        <color theme="0"/>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left>
      <right style="thin">
        <color theme="0"/>
      </right>
      <top style="thin">
        <color theme="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4.9989318521683403E-2"/>
      </left>
      <right style="thin">
        <color theme="0" tint="-4.9989318521683403E-2"/>
      </right>
      <top/>
      <bottom style="thin">
        <color theme="0" tint="-4.9989318521683403E-2"/>
      </bottom>
      <diagonal/>
    </border>
    <border>
      <left style="thin">
        <color theme="0" tint="-4.9989318521683403E-2"/>
      </left>
      <right style="thin">
        <color theme="0" tint="-4.9989318521683403E-2"/>
      </right>
      <top/>
      <bottom/>
      <diagonal/>
    </border>
    <border>
      <left/>
      <right/>
      <top/>
      <bottom style="thin">
        <color indexed="64"/>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s>
  <cellStyleXfs count="1">
    <xf numFmtId="0" fontId="0" fillId="0" borderId="0"/>
  </cellStyleXfs>
  <cellXfs count="399">
    <xf numFmtId="0" fontId="0" fillId="0" borderId="0" xfId="0"/>
    <xf numFmtId="0" fontId="1" fillId="0" borderId="0" xfId="0" applyFont="1"/>
    <xf numFmtId="0" fontId="2" fillId="0" borderId="0" xfId="0" applyFont="1" applyAlignment="1">
      <alignment horizontal="right"/>
    </xf>
    <xf numFmtId="0" fontId="1" fillId="0" borderId="1" xfId="0" applyFont="1" applyBorder="1" applyAlignment="1">
      <alignment horizontal="right"/>
    </xf>
    <xf numFmtId="0" fontId="4" fillId="0" borderId="0" xfId="0" applyFont="1" applyAlignment="1">
      <alignment horizontal="right"/>
    </xf>
    <xf numFmtId="0" fontId="4" fillId="0" borderId="0" xfId="0" applyFont="1"/>
    <xf numFmtId="0" fontId="1" fillId="0" borderId="0" xfId="0" applyFont="1" applyAlignment="1">
      <alignment horizontal="right"/>
    </xf>
    <xf numFmtId="0" fontId="5" fillId="0" borderId="0" xfId="0" applyFont="1"/>
    <xf numFmtId="1" fontId="1" fillId="0" borderId="0" xfId="0" applyNumberFormat="1" applyFont="1"/>
    <xf numFmtId="0" fontId="1" fillId="0" borderId="3" xfId="0" applyFont="1" applyBorder="1" applyAlignment="1">
      <alignment horizontal="right"/>
    </xf>
    <xf numFmtId="0" fontId="1" fillId="0" borderId="7" xfId="0" applyFont="1" applyBorder="1"/>
    <xf numFmtId="0" fontId="1" fillId="0" borderId="4" xfId="0" applyFont="1" applyBorder="1" applyAlignment="1">
      <alignment horizontal="center"/>
    </xf>
    <xf numFmtId="49" fontId="1" fillId="0" borderId="0" xfId="0" applyNumberFormat="1" applyFont="1"/>
    <xf numFmtId="165" fontId="1" fillId="0" borderId="0" xfId="0" applyNumberFormat="1" applyFont="1"/>
    <xf numFmtId="0" fontId="8" fillId="0" borderId="0" xfId="0" applyFont="1"/>
    <xf numFmtId="0" fontId="1" fillId="3" borderId="13" xfId="0" applyFont="1" applyFill="1" applyBorder="1" applyAlignment="1">
      <alignment shrinkToFit="1"/>
    </xf>
    <xf numFmtId="0" fontId="1" fillId="0" borderId="0" xfId="0" applyFont="1" applyAlignment="1">
      <alignment shrinkToFit="1"/>
    </xf>
    <xf numFmtId="0" fontId="9" fillId="0" borderId="0" xfId="0" applyFont="1" applyAlignment="1">
      <alignment horizontal="center"/>
    </xf>
    <xf numFmtId="0" fontId="5" fillId="0" borderId="4" xfId="0" applyFont="1" applyBorder="1" applyAlignment="1">
      <alignment horizontal="center"/>
    </xf>
    <xf numFmtId="0" fontId="5" fillId="0" borderId="8" xfId="0" applyFont="1" applyBorder="1" applyAlignment="1">
      <alignment horizontal="center"/>
    </xf>
    <xf numFmtId="0" fontId="5" fillId="0" borderId="5" xfId="0" applyFont="1" applyBorder="1" applyAlignment="1">
      <alignment horizontal="center"/>
    </xf>
    <xf numFmtId="0" fontId="5" fillId="0" borderId="6" xfId="0" applyFont="1" applyBorder="1" applyAlignment="1">
      <alignment horizontal="center"/>
    </xf>
    <xf numFmtId="0" fontId="6" fillId="0" borderId="7" xfId="0" applyFont="1" applyBorder="1"/>
    <xf numFmtId="0" fontId="6" fillId="0" borderId="0" xfId="0" applyFont="1"/>
    <xf numFmtId="0" fontId="1" fillId="0" borderId="8" xfId="0" applyFont="1" applyBorder="1" applyAlignment="1">
      <alignment horizontal="center"/>
    </xf>
    <xf numFmtId="166" fontId="1" fillId="0" borderId="8" xfId="0" applyNumberFormat="1" applyFont="1" applyBorder="1" applyAlignment="1">
      <alignment horizontal="center"/>
    </xf>
    <xf numFmtId="167" fontId="1" fillId="0" borderId="8" xfId="0" applyNumberFormat="1" applyFont="1" applyBorder="1"/>
    <xf numFmtId="0" fontId="9" fillId="4" borderId="8" xfId="0" applyFont="1" applyFill="1" applyBorder="1" applyAlignment="1">
      <alignment horizontal="center"/>
    </xf>
    <xf numFmtId="0" fontId="1" fillId="0" borderId="0" xfId="0" applyFont="1" applyAlignment="1">
      <alignment horizontal="center"/>
    </xf>
    <xf numFmtId="0" fontId="1" fillId="0" borderId="0" xfId="0" applyFont="1" applyAlignment="1">
      <alignment horizontal="left" vertical="center"/>
    </xf>
    <xf numFmtId="0" fontId="5" fillId="0" borderId="0" xfId="0" applyFont="1" applyAlignment="1">
      <alignment horizontal="center"/>
    </xf>
    <xf numFmtId="1" fontId="10" fillId="0" borderId="0" xfId="0" applyNumberFormat="1" applyFont="1" applyAlignment="1">
      <alignment horizontal="center"/>
    </xf>
    <xf numFmtId="1" fontId="6" fillId="0" borderId="0" xfId="0" applyNumberFormat="1" applyFont="1" applyAlignment="1">
      <alignment horizontal="center"/>
    </xf>
    <xf numFmtId="0" fontId="11" fillId="0" borderId="0" xfId="0" applyFont="1"/>
    <xf numFmtId="0" fontId="6" fillId="0" borderId="0" xfId="0" applyFont="1" applyAlignment="1">
      <alignment wrapText="1"/>
    </xf>
    <xf numFmtId="166" fontId="10" fillId="0" borderId="8" xfId="0" applyNumberFormat="1" applyFont="1" applyBorder="1" applyAlignment="1">
      <alignment horizontal="center"/>
    </xf>
    <xf numFmtId="0" fontId="1" fillId="0" borderId="6" xfId="0" applyFont="1" applyBorder="1" applyAlignment="1">
      <alignment horizontal="center"/>
    </xf>
    <xf numFmtId="0" fontId="1" fillId="0" borderId="4" xfId="0" applyFont="1" applyBorder="1"/>
    <xf numFmtId="1" fontId="1" fillId="0" borderId="8" xfId="0" applyNumberFormat="1" applyFont="1" applyBorder="1" applyAlignment="1">
      <alignment horizontal="center"/>
    </xf>
    <xf numFmtId="0" fontId="6" fillId="0" borderId="0" xfId="0" applyFont="1" applyAlignment="1">
      <alignment horizontal="left" vertical="top"/>
    </xf>
    <xf numFmtId="1" fontId="5" fillId="0" borderId="0" xfId="0" applyNumberFormat="1" applyFont="1" applyAlignment="1">
      <alignment horizontal="center"/>
    </xf>
    <xf numFmtId="0" fontId="10" fillId="0" borderId="0" xfId="0" applyFont="1" applyAlignment="1">
      <alignment horizontal="center"/>
    </xf>
    <xf numFmtId="0" fontId="6" fillId="0" borderId="0" xfId="0" applyFont="1" applyAlignment="1">
      <alignment horizontal="center"/>
    </xf>
    <xf numFmtId="2" fontId="10" fillId="0" borderId="0" xfId="0" applyNumberFormat="1" applyFont="1" applyAlignment="1">
      <alignment horizontal="center"/>
    </xf>
    <xf numFmtId="167" fontId="1" fillId="0" borderId="0" xfId="0" applyNumberFormat="1" applyFont="1"/>
    <xf numFmtId="0" fontId="5" fillId="0" borderId="0" xfId="0" applyFont="1" applyAlignment="1">
      <alignment horizontal="left"/>
    </xf>
    <xf numFmtId="2" fontId="5" fillId="0" borderId="0" xfId="0" applyNumberFormat="1" applyFont="1" applyAlignment="1">
      <alignment horizontal="center"/>
    </xf>
    <xf numFmtId="0" fontId="1" fillId="0" borderId="0" xfId="0" applyFont="1" applyAlignment="1">
      <alignment horizontal="left" vertical="top" wrapText="1"/>
    </xf>
    <xf numFmtId="0" fontId="1" fillId="0" borderId="0" xfId="0" applyFont="1" applyAlignment="1">
      <alignment horizontal="left" vertical="top"/>
    </xf>
    <xf numFmtId="0" fontId="12" fillId="0" borderId="0" xfId="0" applyFont="1" applyAlignment="1">
      <alignment horizontal="left" vertical="top"/>
    </xf>
    <xf numFmtId="0" fontId="6" fillId="0" borderId="0" xfId="0" applyFont="1" applyAlignment="1">
      <alignment horizontal="left" vertical="top" wrapText="1"/>
    </xf>
    <xf numFmtId="0" fontId="1" fillId="0" borderId="8" xfId="0" applyFont="1" applyBorder="1"/>
    <xf numFmtId="0" fontId="10" fillId="0" borderId="8" xfId="0" applyFont="1" applyBorder="1" applyAlignment="1">
      <alignment horizontal="center"/>
    </xf>
    <xf numFmtId="1" fontId="1" fillId="0" borderId="0" xfId="0" applyNumberFormat="1" applyFont="1" applyAlignment="1">
      <alignment horizontal="center"/>
    </xf>
    <xf numFmtId="167" fontId="1" fillId="0" borderId="0" xfId="0" applyNumberFormat="1" applyFont="1" applyAlignment="1">
      <alignment horizontal="center"/>
    </xf>
    <xf numFmtId="0" fontId="1" fillId="0" borderId="9" xfId="0" applyFont="1" applyBorder="1"/>
    <xf numFmtId="0" fontId="1" fillId="0" borderId="2" xfId="0" applyFont="1" applyBorder="1"/>
    <xf numFmtId="0" fontId="1" fillId="0" borderId="1" xfId="0" applyFont="1" applyBorder="1"/>
    <xf numFmtId="0" fontId="1" fillId="0" borderId="14" xfId="0" applyFont="1" applyBorder="1"/>
    <xf numFmtId="0" fontId="1" fillId="0" borderId="10" xfId="0" applyFont="1" applyBorder="1"/>
    <xf numFmtId="0" fontId="1" fillId="0" borderId="12" xfId="0" applyFont="1" applyBorder="1"/>
    <xf numFmtId="0" fontId="1" fillId="0" borderId="11" xfId="0" applyFont="1" applyBorder="1"/>
    <xf numFmtId="0" fontId="1" fillId="0" borderId="15" xfId="0" applyFont="1" applyBorder="1"/>
    <xf numFmtId="0" fontId="1" fillId="0" borderId="3" xfId="0" applyFont="1" applyBorder="1"/>
    <xf numFmtId="0" fontId="1" fillId="0" borderId="16" xfId="0" applyFont="1" applyBorder="1"/>
    <xf numFmtId="0" fontId="1" fillId="0" borderId="0" xfId="0" applyFont="1" applyAlignment="1">
      <alignment wrapText="1"/>
    </xf>
    <xf numFmtId="0" fontId="13" fillId="0" borderId="0" xfId="0" applyFont="1"/>
    <xf numFmtId="0" fontId="5" fillId="0" borderId="4" xfId="0" applyFont="1" applyBorder="1" applyAlignment="1">
      <alignment horizontal="center" wrapText="1"/>
    </xf>
    <xf numFmtId="0" fontId="6" fillId="0" borderId="6" xfId="0" applyFont="1" applyBorder="1" applyAlignment="1">
      <alignment horizontal="center" wrapText="1"/>
    </xf>
    <xf numFmtId="0" fontId="5" fillId="0" borderId="8" xfId="0" applyFont="1" applyBorder="1" applyAlignment="1">
      <alignment horizontal="center" wrapText="1"/>
    </xf>
    <xf numFmtId="0" fontId="6" fillId="0" borderId="6" xfId="0" applyFont="1" applyBorder="1" applyAlignment="1">
      <alignment horizontal="center"/>
    </xf>
    <xf numFmtId="165" fontId="10" fillId="0" borderId="8" xfId="0" applyNumberFormat="1" applyFont="1" applyBorder="1" applyAlignment="1">
      <alignment horizontal="center"/>
    </xf>
    <xf numFmtId="165" fontId="5" fillId="0" borderId="6" xfId="0" applyNumberFormat="1" applyFont="1" applyBorder="1" applyAlignment="1">
      <alignment horizontal="center"/>
    </xf>
    <xf numFmtId="0" fontId="6" fillId="0" borderId="0" xfId="0" applyFont="1" applyAlignment="1">
      <alignment horizontal="right"/>
    </xf>
    <xf numFmtId="2" fontId="5" fillId="0" borderId="0" xfId="0" applyNumberFormat="1" applyFont="1" applyAlignment="1">
      <alignment horizontal="left"/>
    </xf>
    <xf numFmtId="0" fontId="14" fillId="0" borderId="0" xfId="0" applyFont="1" applyAlignment="1">
      <alignment horizontal="left"/>
    </xf>
    <xf numFmtId="0" fontId="15" fillId="0" borderId="3" xfId="0" applyFont="1" applyBorder="1" applyAlignment="1">
      <alignment horizontal="left"/>
    </xf>
    <xf numFmtId="0" fontId="15" fillId="0" borderId="0" xfId="0" applyFont="1" applyAlignment="1">
      <alignment horizontal="left"/>
    </xf>
    <xf numFmtId="0" fontId="16" fillId="0" borderId="0" xfId="0" applyFont="1" applyAlignment="1">
      <alignment horizontal="left"/>
    </xf>
    <xf numFmtId="0" fontId="17" fillId="0" borderId="0" xfId="0" applyFont="1" applyAlignment="1">
      <alignment wrapText="1"/>
    </xf>
    <xf numFmtId="0" fontId="18" fillId="0" borderId="0" xfId="0" applyFont="1" applyAlignment="1">
      <alignment wrapText="1"/>
    </xf>
    <xf numFmtId="166" fontId="1" fillId="0" borderId="0" xfId="0" applyNumberFormat="1" applyFont="1"/>
    <xf numFmtId="2" fontId="1" fillId="0" borderId="8" xfId="0" applyNumberFormat="1" applyFont="1" applyBorder="1" applyAlignment="1">
      <alignment horizontal="center"/>
    </xf>
    <xf numFmtId="167" fontId="10" fillId="0" borderId="0" xfId="0" applyNumberFormat="1" applyFont="1" applyAlignment="1">
      <alignment horizontal="center"/>
    </xf>
    <xf numFmtId="167" fontId="6" fillId="0" borderId="0" xfId="0" applyNumberFormat="1" applyFont="1" applyAlignment="1">
      <alignment horizontal="center"/>
    </xf>
    <xf numFmtId="164" fontId="1" fillId="0" borderId="0" xfId="0" applyNumberFormat="1" applyFont="1"/>
    <xf numFmtId="165" fontId="5" fillId="0" borderId="0" xfId="0" applyNumberFormat="1" applyFont="1" applyAlignment="1">
      <alignment horizontal="center"/>
    </xf>
    <xf numFmtId="4" fontId="5" fillId="0" borderId="0" xfId="0" applyNumberFormat="1" applyFont="1"/>
    <xf numFmtId="165" fontId="5" fillId="0" borderId="0" xfId="0" applyNumberFormat="1" applyFont="1"/>
    <xf numFmtId="4" fontId="6" fillId="0" borderId="0" xfId="0" applyNumberFormat="1" applyFont="1"/>
    <xf numFmtId="2" fontId="10" fillId="0" borderId="8" xfId="0" applyNumberFormat="1" applyFont="1" applyBorder="1" applyAlignment="1">
      <alignment horizontal="center"/>
    </xf>
    <xf numFmtId="0" fontId="1" fillId="0" borderId="5" xfId="0" applyFont="1" applyBorder="1"/>
    <xf numFmtId="0" fontId="1" fillId="0" borderId="6" xfId="0" applyFont="1" applyBorder="1"/>
    <xf numFmtId="0" fontId="6" fillId="0" borderId="1" xfId="0" applyFont="1" applyBorder="1"/>
    <xf numFmtId="0" fontId="6" fillId="0" borderId="2" xfId="0" applyFont="1" applyBorder="1"/>
    <xf numFmtId="0" fontId="6" fillId="0" borderId="6" xfId="0" applyFont="1" applyBorder="1"/>
    <xf numFmtId="167" fontId="5" fillId="0" borderId="6" xfId="0" applyNumberFormat="1" applyFont="1" applyBorder="1" applyAlignment="1">
      <alignment horizontal="center"/>
    </xf>
    <xf numFmtId="0" fontId="19" fillId="0" borderId="0" xfId="0" applyFont="1" applyAlignment="1">
      <alignment horizontal="right"/>
    </xf>
    <xf numFmtId="167" fontId="1" fillId="0" borderId="8" xfId="0" applyNumberFormat="1" applyFont="1" applyBorder="1" applyAlignment="1">
      <alignment horizontal="center"/>
    </xf>
    <xf numFmtId="3" fontId="1" fillId="0" borderId="0" xfId="0" applyNumberFormat="1" applyFont="1"/>
    <xf numFmtId="3" fontId="10" fillId="0" borderId="0" xfId="0" applyNumberFormat="1" applyFont="1" applyAlignment="1">
      <alignment horizontal="center"/>
    </xf>
    <xf numFmtId="3" fontId="6" fillId="0" borderId="0" xfId="0" applyNumberFormat="1" applyFont="1" applyAlignment="1">
      <alignment horizontal="center"/>
    </xf>
    <xf numFmtId="3" fontId="5" fillId="0" borderId="6" xfId="0" applyNumberFormat="1" applyFont="1" applyBorder="1" applyAlignment="1">
      <alignment horizontal="center"/>
    </xf>
    <xf numFmtId="1" fontId="5" fillId="0" borderId="4" xfId="0" applyNumberFormat="1" applyFont="1" applyBorder="1" applyAlignment="1">
      <alignment horizontal="right"/>
    </xf>
    <xf numFmtId="1" fontId="5" fillId="0" borderId="0" xfId="0" applyNumberFormat="1" applyFont="1" applyAlignment="1">
      <alignment horizontal="right"/>
    </xf>
    <xf numFmtId="1" fontId="6" fillId="0" borderId="0" xfId="0" applyNumberFormat="1" applyFont="1" applyAlignment="1">
      <alignment horizontal="right"/>
    </xf>
    <xf numFmtId="2" fontId="5" fillId="0" borderId="19" xfId="0" applyNumberFormat="1" applyFont="1" applyBorder="1" applyAlignment="1">
      <alignment horizontal="center"/>
    </xf>
    <xf numFmtId="0" fontId="10" fillId="0" borderId="19" xfId="0" applyFont="1" applyBorder="1" applyAlignment="1">
      <alignment horizontal="center"/>
    </xf>
    <xf numFmtId="0" fontId="5" fillId="0" borderId="20" xfId="0" applyFont="1" applyBorder="1" applyAlignment="1">
      <alignment horizontal="left"/>
    </xf>
    <xf numFmtId="0" fontId="6" fillId="0" borderId="21" xfId="0" applyFont="1" applyBorder="1"/>
    <xf numFmtId="0" fontId="10" fillId="0" borderId="22" xfId="0" applyFont="1" applyBorder="1" applyAlignment="1">
      <alignment horizontal="center"/>
    </xf>
    <xf numFmtId="0" fontId="10" fillId="0" borderId="23" xfId="0" applyFont="1" applyBorder="1" applyAlignment="1">
      <alignment horizontal="center"/>
    </xf>
    <xf numFmtId="0" fontId="6" fillId="0" borderId="20" xfId="0" applyFont="1" applyBorder="1"/>
    <xf numFmtId="2" fontId="5" fillId="0" borderId="11" xfId="0" applyNumberFormat="1" applyFont="1" applyBorder="1" applyAlignment="1">
      <alignment horizontal="left"/>
    </xf>
    <xf numFmtId="2" fontId="5" fillId="0" borderId="11" xfId="0" applyNumberFormat="1" applyFont="1" applyBorder="1" applyAlignment="1">
      <alignment horizontal="center"/>
    </xf>
    <xf numFmtId="0" fontId="6" fillId="0" borderId="0" xfId="0" applyFont="1" applyAlignment="1">
      <alignment horizontal="left"/>
    </xf>
    <xf numFmtId="0" fontId="10" fillId="0" borderId="11" xfId="0" applyFont="1" applyBorder="1" applyAlignment="1">
      <alignment horizontal="center"/>
    </xf>
    <xf numFmtId="2" fontId="1" fillId="0" borderId="0" xfId="0" applyNumberFormat="1" applyFont="1" applyAlignment="1">
      <alignment horizontal="left"/>
    </xf>
    <xf numFmtId="0" fontId="9" fillId="0" borderId="8" xfId="0" applyFont="1" applyBorder="1" applyAlignment="1">
      <alignment horizontal="center"/>
    </xf>
    <xf numFmtId="0" fontId="5" fillId="0" borderId="0" xfId="0" applyFont="1" applyAlignment="1">
      <alignment horizontal="right"/>
    </xf>
    <xf numFmtId="0" fontId="1" fillId="0" borderId="0" xfId="0" applyFont="1" applyAlignment="1">
      <alignment horizontal="right" readingOrder="1"/>
    </xf>
    <xf numFmtId="169" fontId="10" fillId="0" borderId="0" xfId="0" applyNumberFormat="1" applyFont="1" applyAlignment="1">
      <alignment horizontal="center"/>
    </xf>
    <xf numFmtId="169" fontId="6" fillId="0" borderId="0" xfId="0" applyNumberFormat="1" applyFont="1" applyAlignment="1">
      <alignment horizontal="center"/>
    </xf>
    <xf numFmtId="166" fontId="10" fillId="0" borderId="0" xfId="0" applyNumberFormat="1" applyFont="1" applyAlignment="1">
      <alignment horizontal="center"/>
    </xf>
    <xf numFmtId="166" fontId="6" fillId="0" borderId="0" xfId="0" applyNumberFormat="1" applyFont="1" applyAlignment="1">
      <alignment horizontal="center"/>
    </xf>
    <xf numFmtId="0" fontId="9" fillId="5" borderId="13" xfId="0" applyFont="1" applyFill="1" applyBorder="1" applyAlignment="1">
      <alignment horizontal="center"/>
    </xf>
    <xf numFmtId="0" fontId="6" fillId="0" borderId="5" xfId="0" applyFont="1" applyBorder="1" applyAlignment="1">
      <alignment horizontal="center" wrapText="1"/>
    </xf>
    <xf numFmtId="166" fontId="5" fillId="0" borderId="6" xfId="0" applyNumberFormat="1" applyFont="1" applyBorder="1" applyAlignment="1">
      <alignment horizontal="center"/>
    </xf>
    <xf numFmtId="166" fontId="8" fillId="0" borderId="11" xfId="0" applyNumberFormat="1" applyFont="1" applyBorder="1" applyAlignment="1">
      <alignment horizontal="left" vertical="top"/>
    </xf>
    <xf numFmtId="165" fontId="1" fillId="0" borderId="8" xfId="0" applyNumberFormat="1" applyFont="1" applyBorder="1" applyAlignment="1">
      <alignment horizontal="center"/>
    </xf>
    <xf numFmtId="164" fontId="10" fillId="0" borderId="0" xfId="0" applyNumberFormat="1" applyFont="1" applyAlignment="1">
      <alignment horizontal="center"/>
    </xf>
    <xf numFmtId="164" fontId="6" fillId="0" borderId="0" xfId="0" applyNumberFormat="1" applyFont="1" applyAlignment="1">
      <alignment horizontal="center"/>
    </xf>
    <xf numFmtId="165" fontId="10" fillId="0" borderId="0" xfId="0" applyNumberFormat="1" applyFont="1" applyAlignment="1">
      <alignment horizontal="center"/>
    </xf>
    <xf numFmtId="165" fontId="6" fillId="0" borderId="0" xfId="0" applyNumberFormat="1" applyFont="1" applyAlignment="1">
      <alignment horizontal="center"/>
    </xf>
    <xf numFmtId="0" fontId="21" fillId="0" borderId="6" xfId="0" applyFont="1" applyBorder="1"/>
    <xf numFmtId="0" fontId="22" fillId="0" borderId="4" xfId="0" applyFont="1" applyBorder="1"/>
    <xf numFmtId="0" fontId="5" fillId="0" borderId="30" xfId="0" applyFont="1" applyBorder="1" applyAlignment="1">
      <alignment horizontal="center"/>
    </xf>
    <xf numFmtId="165" fontId="6" fillId="0" borderId="0" xfId="0" applyNumberFormat="1" applyFont="1"/>
    <xf numFmtId="1" fontId="1" fillId="0" borderId="4" xfId="0" applyNumberFormat="1" applyFont="1" applyBorder="1" applyAlignment="1">
      <alignment horizontal="center"/>
    </xf>
    <xf numFmtId="167" fontId="10" fillId="0" borderId="8" xfId="0" applyNumberFormat="1" applyFont="1" applyBorder="1" applyAlignment="1">
      <alignment horizontal="center"/>
    </xf>
    <xf numFmtId="0" fontId="9" fillId="4" borderId="13" xfId="0" applyFont="1" applyFill="1" applyBorder="1" applyAlignment="1">
      <alignment horizontal="center"/>
    </xf>
    <xf numFmtId="4" fontId="10" fillId="0" borderId="0" xfId="0" applyNumberFormat="1" applyFont="1" applyAlignment="1">
      <alignment horizontal="center"/>
    </xf>
    <xf numFmtId="4" fontId="6" fillId="0" borderId="0" xfId="0" applyNumberFormat="1" applyFont="1" applyAlignment="1">
      <alignment horizontal="center"/>
    </xf>
    <xf numFmtId="2" fontId="6" fillId="0" borderId="0" xfId="0" applyNumberFormat="1" applyFont="1" applyAlignment="1">
      <alignment horizontal="center"/>
    </xf>
    <xf numFmtId="2" fontId="5" fillId="0" borderId="6" xfId="0" applyNumberFormat="1" applyFont="1" applyBorder="1" applyAlignment="1">
      <alignment horizontal="center"/>
    </xf>
    <xf numFmtId="0" fontId="5" fillId="0" borderId="4" xfId="0" applyFont="1" applyBorder="1"/>
    <xf numFmtId="0" fontId="10" fillId="0" borderId="5" xfId="0" applyFont="1" applyBorder="1" applyAlignment="1">
      <alignment horizontal="right"/>
    </xf>
    <xf numFmtId="0" fontId="5" fillId="0" borderId="6" xfId="0" applyFont="1" applyBorder="1"/>
    <xf numFmtId="0" fontId="21" fillId="0" borderId="6" xfId="0" applyFont="1" applyBorder="1" applyAlignment="1">
      <alignment horizontal="center"/>
    </xf>
    <xf numFmtId="2" fontId="6" fillId="0" borderId="4" xfId="0" applyNumberFormat="1" applyFont="1" applyBorder="1"/>
    <xf numFmtId="2" fontId="6" fillId="0" borderId="6" xfId="0" applyNumberFormat="1" applyFont="1" applyBorder="1"/>
    <xf numFmtId="2" fontId="5" fillId="0" borderId="8" xfId="0" applyNumberFormat="1" applyFont="1" applyBorder="1" applyAlignment="1">
      <alignment horizontal="center"/>
    </xf>
    <xf numFmtId="14" fontId="1" fillId="0" borderId="11" xfId="0" applyNumberFormat="1" applyFont="1" applyBorder="1"/>
    <xf numFmtId="0" fontId="6" fillId="0" borderId="11" xfId="0" applyFont="1" applyBorder="1"/>
    <xf numFmtId="166" fontId="8" fillId="0" borderId="0" xfId="0" applyNumberFormat="1" applyFont="1"/>
    <xf numFmtId="0" fontId="21" fillId="0" borderId="8" xfId="0" applyFont="1" applyBorder="1"/>
    <xf numFmtId="0" fontId="22" fillId="0" borderId="8" xfId="0" applyFont="1" applyBorder="1"/>
    <xf numFmtId="0" fontId="10" fillId="0" borderId="0" xfId="0" applyFont="1" applyAlignment="1">
      <alignment horizontal="right"/>
    </xf>
    <xf numFmtId="0" fontId="5" fillId="0" borderId="11" xfId="0" applyFont="1" applyBorder="1"/>
    <xf numFmtId="0" fontId="21" fillId="0" borderId="6" xfId="0" applyFont="1" applyBorder="1" applyAlignment="1">
      <alignment horizontal="center" vertical="center"/>
    </xf>
    <xf numFmtId="0" fontId="1" fillId="0" borderId="9" xfId="0" quotePrefix="1" applyFont="1" applyBorder="1" applyAlignment="1">
      <alignment horizontal="center" vertical="center" wrapText="1"/>
    </xf>
    <xf numFmtId="0" fontId="1" fillId="0" borderId="8" xfId="0" applyFont="1" applyBorder="1" applyAlignment="1">
      <alignment horizontal="center" vertical="center" wrapText="1"/>
    </xf>
    <xf numFmtId="0" fontId="1" fillId="0" borderId="8" xfId="0" applyFont="1" applyBorder="1" applyAlignment="1">
      <alignment horizontal="center" vertical="center"/>
    </xf>
    <xf numFmtId="0" fontId="1" fillId="0" borderId="8" xfId="0" quotePrefix="1" applyFont="1" applyBorder="1" applyAlignment="1">
      <alignment horizontal="center" vertical="center" wrapText="1"/>
    </xf>
    <xf numFmtId="0" fontId="1" fillId="0" borderId="0" xfId="0" applyFont="1" applyAlignment="1">
      <alignment horizontal="center" vertical="center" wrapText="1"/>
    </xf>
    <xf numFmtId="0" fontId="5" fillId="6" borderId="13" xfId="0" applyFont="1" applyFill="1" applyBorder="1"/>
    <xf numFmtId="0" fontId="5" fillId="0" borderId="4" xfId="0" applyFont="1" applyBorder="1" applyAlignment="1">
      <alignment horizontal="center" vertical="center" wrapText="1"/>
    </xf>
    <xf numFmtId="0" fontId="6" fillId="0" borderId="6" xfId="0" applyFont="1" applyBorder="1" applyAlignment="1">
      <alignment horizontal="center" vertical="center" wrapText="1"/>
    </xf>
    <xf numFmtId="0" fontId="5" fillId="0" borderId="8" xfId="0" applyFont="1" applyBorder="1" applyAlignment="1">
      <alignment horizontal="center" vertical="center" wrapText="1"/>
    </xf>
    <xf numFmtId="0" fontId="7" fillId="2" borderId="8" xfId="0" applyFont="1" applyFill="1" applyBorder="1" applyAlignment="1" applyProtection="1">
      <alignment horizontal="center"/>
      <protection locked="0"/>
    </xf>
    <xf numFmtId="0" fontId="1" fillId="2" borderId="8" xfId="0" applyFont="1" applyFill="1" applyBorder="1" applyAlignment="1" applyProtection="1">
      <alignment horizontal="center"/>
      <protection locked="0"/>
    </xf>
    <xf numFmtId="0" fontId="6" fillId="2" borderId="8" xfId="0" applyFont="1" applyFill="1" applyBorder="1" applyAlignment="1" applyProtection="1">
      <alignment horizontal="center"/>
      <protection locked="0"/>
    </xf>
    <xf numFmtId="0" fontId="1" fillId="2" borderId="8" xfId="0" applyFont="1" applyFill="1" applyBorder="1" applyProtection="1">
      <protection locked="0"/>
    </xf>
    <xf numFmtId="165" fontId="5" fillId="2" borderId="17" xfId="0" applyNumberFormat="1" applyFont="1" applyFill="1" applyBorder="1" applyAlignment="1" applyProtection="1">
      <alignment horizontal="center"/>
      <protection locked="0"/>
    </xf>
    <xf numFmtId="0" fontId="1" fillId="3" borderId="13" xfId="0" applyFont="1" applyFill="1" applyBorder="1" applyAlignment="1" applyProtection="1">
      <alignment shrinkToFit="1"/>
      <protection locked="0"/>
    </xf>
    <xf numFmtId="167" fontId="5" fillId="2" borderId="17" xfId="0" applyNumberFormat="1" applyFont="1" applyFill="1" applyBorder="1" applyAlignment="1" applyProtection="1">
      <alignment horizontal="center"/>
      <protection locked="0"/>
    </xf>
    <xf numFmtId="165" fontId="7" fillId="2" borderId="8" xfId="0" applyNumberFormat="1" applyFont="1" applyFill="1" applyBorder="1" applyAlignment="1" applyProtection="1">
      <alignment horizontal="center"/>
      <protection locked="0"/>
    </xf>
    <xf numFmtId="0" fontId="10" fillId="2" borderId="8" xfId="0" applyFont="1" applyFill="1" applyBorder="1" applyAlignment="1" applyProtection="1">
      <alignment horizontal="center"/>
      <protection locked="0"/>
    </xf>
    <xf numFmtId="0" fontId="5" fillId="2" borderId="8" xfId="0" applyFont="1" applyFill="1" applyBorder="1" applyAlignment="1" applyProtection="1">
      <alignment horizontal="center"/>
      <protection locked="0"/>
    </xf>
    <xf numFmtId="1" fontId="5" fillId="2" borderId="17" xfId="0" applyNumberFormat="1" applyFont="1" applyFill="1" applyBorder="1" applyAlignment="1" applyProtection="1">
      <alignment horizontal="center"/>
      <protection locked="0"/>
    </xf>
    <xf numFmtId="0" fontId="1" fillId="0" borderId="0" xfId="0" applyFont="1" applyProtection="1">
      <protection locked="0"/>
    </xf>
    <xf numFmtId="0" fontId="7" fillId="2" borderId="24" xfId="0" applyFont="1" applyFill="1" applyBorder="1" applyAlignment="1" applyProtection="1">
      <alignment horizontal="center"/>
      <protection locked="0"/>
    </xf>
    <xf numFmtId="166" fontId="5" fillId="2" borderId="17" xfId="0" applyNumberFormat="1" applyFont="1" applyFill="1" applyBorder="1" applyAlignment="1" applyProtection="1">
      <alignment horizontal="center"/>
      <protection locked="0"/>
    </xf>
    <xf numFmtId="0" fontId="9" fillId="3" borderId="8" xfId="0" applyFont="1" applyFill="1" applyBorder="1" applyAlignment="1" applyProtection="1">
      <alignment horizontal="center"/>
      <protection locked="0"/>
    </xf>
    <xf numFmtId="3" fontId="5" fillId="3" borderId="17" xfId="0" applyNumberFormat="1" applyFont="1" applyFill="1" applyBorder="1" applyAlignment="1" applyProtection="1">
      <alignment horizontal="center"/>
      <protection locked="0"/>
    </xf>
    <xf numFmtId="2" fontId="5" fillId="2" borderId="17" xfId="0" applyNumberFormat="1" applyFont="1" applyFill="1" applyBorder="1" applyAlignment="1" applyProtection="1">
      <alignment horizontal="center"/>
      <protection locked="0"/>
    </xf>
    <xf numFmtId="2" fontId="5" fillId="2" borderId="8" xfId="0" applyNumberFormat="1" applyFont="1" applyFill="1" applyBorder="1" applyAlignment="1" applyProtection="1">
      <alignment horizontal="center"/>
      <protection locked="0"/>
    </xf>
    <xf numFmtId="0" fontId="1" fillId="3" borderId="13" xfId="0" applyFont="1" applyFill="1" applyBorder="1" applyAlignment="1" applyProtection="1">
      <alignment horizontal="center" shrinkToFit="1"/>
      <protection locked="0"/>
    </xf>
    <xf numFmtId="0" fontId="5" fillId="3" borderId="13" xfId="0" applyFont="1" applyFill="1" applyBorder="1" applyAlignment="1" applyProtection="1">
      <alignment horizontal="right"/>
      <protection locked="0"/>
    </xf>
    <xf numFmtId="0" fontId="1" fillId="3" borderId="13" xfId="0" applyFont="1" applyFill="1" applyBorder="1" applyAlignment="1" applyProtection="1">
      <alignment horizontal="center" vertical="center" shrinkToFit="1"/>
      <protection locked="0"/>
    </xf>
    <xf numFmtId="0" fontId="25" fillId="0" borderId="0" xfId="0" applyFont="1"/>
    <xf numFmtId="0" fontId="26" fillId="0" borderId="0" xfId="0" applyFont="1" applyAlignment="1">
      <alignment horizontal="right"/>
    </xf>
    <xf numFmtId="0" fontId="27" fillId="0" borderId="0" xfId="0" applyFont="1" applyAlignment="1">
      <alignment vertical="center"/>
    </xf>
    <xf numFmtId="0" fontId="26" fillId="0" borderId="0" xfId="0" applyFont="1" applyAlignment="1">
      <alignment horizontal="right" vertical="center"/>
    </xf>
    <xf numFmtId="0" fontId="28" fillId="0" borderId="0" xfId="0" applyFont="1" applyAlignment="1">
      <alignment vertical="center"/>
    </xf>
    <xf numFmtId="0" fontId="29" fillId="0" borderId="0" xfId="0" applyFont="1" applyAlignment="1">
      <alignment vertical="center"/>
    </xf>
    <xf numFmtId="0" fontId="30" fillId="0" borderId="0" xfId="0" applyFont="1" applyAlignment="1">
      <alignment horizontal="right" vertical="center"/>
    </xf>
    <xf numFmtId="0" fontId="31" fillId="0" borderId="0" xfId="0" applyFont="1" applyAlignment="1">
      <alignment vertical="center"/>
    </xf>
    <xf numFmtId="0" fontId="27" fillId="0" borderId="0" xfId="0" applyFont="1"/>
    <xf numFmtId="0" fontId="28" fillId="0" borderId="0" xfId="0" applyFont="1"/>
    <xf numFmtId="0" fontId="32" fillId="0" borderId="0" xfId="0" applyFont="1" applyAlignment="1">
      <alignment vertical="center"/>
    </xf>
    <xf numFmtId="0" fontId="33" fillId="0" borderId="0" xfId="0" applyFont="1" applyAlignment="1">
      <alignment horizontal="right" vertical="center"/>
    </xf>
    <xf numFmtId="0" fontId="34" fillId="0" borderId="0" xfId="0" applyFont="1" applyAlignment="1">
      <alignment vertical="center"/>
    </xf>
    <xf numFmtId="0" fontId="27" fillId="0" borderId="0" xfId="0" applyFont="1" applyAlignment="1">
      <alignment horizontal="right"/>
    </xf>
    <xf numFmtId="0" fontId="28" fillId="0" borderId="0" xfId="0" applyFont="1" applyAlignment="1">
      <alignment horizontal="right"/>
    </xf>
    <xf numFmtId="0" fontId="1" fillId="0" borderId="29" xfId="0" applyFont="1" applyBorder="1"/>
    <xf numFmtId="0" fontId="1" fillId="0" borderId="32" xfId="0" applyFont="1" applyBorder="1"/>
    <xf numFmtId="0" fontId="1" fillId="0" borderId="34" xfId="0" applyFont="1" applyBorder="1"/>
    <xf numFmtId="0" fontId="4" fillId="0" borderId="33" xfId="0" applyFont="1" applyBorder="1"/>
    <xf numFmtId="0" fontId="1" fillId="0" borderId="33" xfId="0" applyFont="1" applyBorder="1"/>
    <xf numFmtId="0" fontId="1" fillId="0" borderId="29" xfId="0" applyFont="1" applyBorder="1" applyAlignment="1">
      <alignment horizontal="right"/>
    </xf>
    <xf numFmtId="0" fontId="4" fillId="0" borderId="38" xfId="0" applyFont="1" applyBorder="1"/>
    <xf numFmtId="0" fontId="1" fillId="0" borderId="38" xfId="0" applyFont="1" applyBorder="1"/>
    <xf numFmtId="0" fontId="1" fillId="0" borderId="39" xfId="0" applyFont="1" applyBorder="1"/>
    <xf numFmtId="0" fontId="1" fillId="2" borderId="4" xfId="0" applyFont="1" applyFill="1" applyBorder="1" applyAlignment="1" applyProtection="1">
      <alignment horizontal="right"/>
      <protection locked="0"/>
    </xf>
    <xf numFmtId="0" fontId="3" fillId="0" borderId="5" xfId="0" applyFont="1" applyBorder="1" applyProtection="1">
      <protection locked="0"/>
    </xf>
    <xf numFmtId="0" fontId="3" fillId="0" borderId="6" xfId="0" applyFont="1" applyBorder="1" applyProtection="1">
      <protection locked="0"/>
    </xf>
    <xf numFmtId="165" fontId="5" fillId="2" borderId="4" xfId="0" applyNumberFormat="1" applyFont="1" applyFill="1" applyBorder="1" applyAlignment="1" applyProtection="1">
      <alignment horizontal="center"/>
      <protection locked="0"/>
    </xf>
    <xf numFmtId="166" fontId="5" fillId="2" borderId="4" xfId="0" applyNumberFormat="1" applyFont="1" applyFill="1" applyBorder="1" applyAlignment="1" applyProtection="1">
      <alignment horizontal="center"/>
      <protection locked="0"/>
    </xf>
    <xf numFmtId="166" fontId="6" fillId="0" borderId="4" xfId="0" applyNumberFormat="1" applyFont="1" applyBorder="1" applyAlignment="1">
      <alignment horizontal="center"/>
    </xf>
    <xf numFmtId="0" fontId="3" fillId="0" borderId="6" xfId="0" applyFont="1" applyBorder="1"/>
    <xf numFmtId="166" fontId="10" fillId="0" borderId="4" xfId="0" applyNumberFormat="1" applyFont="1" applyBorder="1" applyAlignment="1">
      <alignment horizontal="center"/>
    </xf>
    <xf numFmtId="0" fontId="9" fillId="4" borderId="4" xfId="0" applyFont="1" applyFill="1" applyBorder="1" applyAlignment="1">
      <alignment horizontal="center"/>
    </xf>
    <xf numFmtId="0" fontId="3" fillId="0" borderId="5" xfId="0" applyFont="1" applyBorder="1"/>
    <xf numFmtId="0" fontId="1" fillId="0" borderId="1" xfId="0" applyFont="1" applyBorder="1" applyAlignment="1">
      <alignment horizontal="right"/>
    </xf>
    <xf numFmtId="0" fontId="3" fillId="0" borderId="1" xfId="0" applyFont="1" applyBorder="1"/>
    <xf numFmtId="0" fontId="3" fillId="0" borderId="2" xfId="0" applyFont="1" applyBorder="1"/>
    <xf numFmtId="165" fontId="10" fillId="0" borderId="5" xfId="0" applyNumberFormat="1" applyFont="1" applyBorder="1" applyAlignment="1">
      <alignment horizontal="center"/>
    </xf>
    <xf numFmtId="165" fontId="10" fillId="0" borderId="4" xfId="0" applyNumberFormat="1" applyFont="1" applyBorder="1" applyAlignment="1">
      <alignment horizontal="center"/>
    </xf>
    <xf numFmtId="166" fontId="10" fillId="2" borderId="4" xfId="0" applyNumberFormat="1" applyFont="1" applyFill="1" applyBorder="1" applyAlignment="1" applyProtection="1">
      <alignment horizontal="center"/>
      <protection locked="0"/>
    </xf>
    <xf numFmtId="165" fontId="10" fillId="2" borderId="4" xfId="0" applyNumberFormat="1" applyFont="1" applyFill="1" applyBorder="1" applyAlignment="1" applyProtection="1">
      <alignment horizontal="center"/>
      <protection locked="0"/>
    </xf>
    <xf numFmtId="0" fontId="5" fillId="0" borderId="4" xfId="0" applyFont="1" applyBorder="1" applyAlignment="1">
      <alignment horizontal="center"/>
    </xf>
    <xf numFmtId="0" fontId="1" fillId="0" borderId="4" xfId="0" applyFont="1" applyBorder="1"/>
    <xf numFmtId="166" fontId="1" fillId="3" borderId="4" xfId="0" applyNumberFormat="1" applyFont="1" applyFill="1" applyBorder="1" applyAlignment="1" applyProtection="1">
      <alignment horizontal="center"/>
      <protection locked="0"/>
    </xf>
    <xf numFmtId="0" fontId="1" fillId="0" borderId="4" xfId="0" applyFont="1" applyBorder="1" applyAlignment="1">
      <alignment horizontal="center"/>
    </xf>
    <xf numFmtId="0" fontId="1" fillId="3" borderId="4" xfId="0" applyFont="1" applyFill="1" applyBorder="1" applyAlignment="1" applyProtection="1">
      <alignment horizontal="center"/>
      <protection locked="0"/>
    </xf>
    <xf numFmtId="0" fontId="1" fillId="0" borderId="0" xfId="0" applyFont="1" applyAlignment="1">
      <alignment horizontal="left" vertical="center"/>
    </xf>
    <xf numFmtId="0" fontId="0" fillId="0" borderId="0" xfId="0"/>
    <xf numFmtId="1" fontId="10" fillId="0" borderId="5" xfId="0" applyNumberFormat="1" applyFont="1" applyBorder="1" applyAlignment="1">
      <alignment horizontal="center"/>
    </xf>
    <xf numFmtId="0" fontId="5" fillId="0" borderId="5" xfId="0" applyFont="1" applyBorder="1" applyAlignment="1">
      <alignment horizontal="center"/>
    </xf>
    <xf numFmtId="1" fontId="1" fillId="2" borderId="4" xfId="0" applyNumberFormat="1" applyFont="1" applyFill="1" applyBorder="1" applyProtection="1">
      <protection locked="0"/>
    </xf>
    <xf numFmtId="164" fontId="1" fillId="2" borderId="4" xfId="0" applyNumberFormat="1" applyFont="1" applyFill="1" applyBorder="1" applyProtection="1">
      <protection locked="0"/>
    </xf>
    <xf numFmtId="165" fontId="1" fillId="2" borderId="4" xfId="0" applyNumberFormat="1" applyFont="1" applyFill="1" applyBorder="1" applyProtection="1">
      <protection locked="0"/>
    </xf>
    <xf numFmtId="14" fontId="1" fillId="2" borderId="4" xfId="0" applyNumberFormat="1" applyFont="1" applyFill="1" applyBorder="1" applyAlignment="1" applyProtection="1">
      <alignment horizontal="right"/>
      <protection locked="0"/>
    </xf>
    <xf numFmtId="0" fontId="6" fillId="2" borderId="35" xfId="0" applyFont="1" applyFill="1" applyBorder="1" applyAlignment="1" applyProtection="1">
      <alignment horizontal="center"/>
      <protection locked="0"/>
    </xf>
    <xf numFmtId="0" fontId="3" fillId="0" borderId="36" xfId="0" applyFont="1" applyBorder="1" applyProtection="1">
      <protection locked="0"/>
    </xf>
    <xf numFmtId="0" fontId="3" fillId="0" borderId="37" xfId="0" applyFont="1" applyBorder="1" applyProtection="1">
      <protection locked="0"/>
    </xf>
    <xf numFmtId="0" fontId="1" fillId="2" borderId="9" xfId="0" applyFont="1" applyFill="1" applyBorder="1" applyAlignment="1" applyProtection="1">
      <alignment horizontal="right" vertical="top" wrapText="1"/>
      <protection locked="0"/>
    </xf>
    <xf numFmtId="0" fontId="3" fillId="0" borderId="1" xfId="0" applyFont="1" applyBorder="1" applyProtection="1">
      <protection locked="0"/>
    </xf>
    <xf numFmtId="0" fontId="3" fillId="0" borderId="2" xfId="0" applyFont="1" applyBorder="1" applyProtection="1">
      <protection locked="0"/>
    </xf>
    <xf numFmtId="0" fontId="3" fillId="0" borderId="10" xfId="0" applyFont="1" applyBorder="1" applyProtection="1">
      <protection locked="0"/>
    </xf>
    <xf numFmtId="0" fontId="3" fillId="0" borderId="11" xfId="0" applyFont="1" applyBorder="1" applyProtection="1">
      <protection locked="0"/>
    </xf>
    <xf numFmtId="0" fontId="3" fillId="0" borderId="12" xfId="0" applyFont="1" applyBorder="1" applyProtection="1">
      <protection locked="0"/>
    </xf>
    <xf numFmtId="0" fontId="1" fillId="2" borderId="4" xfId="0" applyFont="1" applyFill="1" applyBorder="1" applyProtection="1">
      <protection locked="0"/>
    </xf>
    <xf numFmtId="165" fontId="1" fillId="0" borderId="0" xfId="0" applyNumberFormat="1" applyFont="1"/>
    <xf numFmtId="49" fontId="1" fillId="2" borderId="4" xfId="0" applyNumberFormat="1" applyFont="1" applyFill="1" applyBorder="1" applyProtection="1">
      <protection locked="0"/>
    </xf>
    <xf numFmtId="0" fontId="10" fillId="0" borderId="4" xfId="0" applyFont="1" applyBorder="1" applyAlignment="1">
      <alignment horizontal="center"/>
    </xf>
    <xf numFmtId="0" fontId="1" fillId="0" borderId="0" xfId="0" applyFont="1" applyAlignment="1">
      <alignment horizontal="left" vertical="top" wrapText="1"/>
    </xf>
    <xf numFmtId="0" fontId="1" fillId="0" borderId="0" xfId="0" applyFont="1" applyAlignment="1">
      <alignment horizontal="left" wrapText="1"/>
    </xf>
    <xf numFmtId="1" fontId="10" fillId="0" borderId="4" xfId="0" applyNumberFormat="1" applyFont="1" applyBorder="1" applyAlignment="1">
      <alignment horizontal="center"/>
    </xf>
    <xf numFmtId="166" fontId="7" fillId="2" borderId="4" xfId="0" applyNumberFormat="1" applyFont="1" applyFill="1" applyBorder="1" applyAlignment="1" applyProtection="1">
      <alignment horizontal="center"/>
      <protection locked="0"/>
    </xf>
    <xf numFmtId="0" fontId="3" fillId="0" borderId="18" xfId="0" applyFont="1" applyBorder="1" applyProtection="1">
      <protection locked="0"/>
    </xf>
    <xf numFmtId="2" fontId="10" fillId="0" borderId="0" xfId="0" applyNumberFormat="1" applyFont="1" applyAlignment="1">
      <alignment horizontal="center"/>
    </xf>
    <xf numFmtId="165" fontId="5" fillId="0" borderId="4" xfId="0" applyNumberFormat="1" applyFont="1" applyBorder="1" applyAlignment="1">
      <alignment horizontal="center"/>
    </xf>
    <xf numFmtId="0" fontId="8" fillId="0" borderId="4" xfId="0" applyFont="1" applyBorder="1" applyAlignment="1">
      <alignment horizontal="left" wrapText="1"/>
    </xf>
    <xf numFmtId="0" fontId="5" fillId="0" borderId="4" xfId="0" applyFont="1" applyBorder="1" applyAlignment="1">
      <alignment horizontal="center" wrapText="1"/>
    </xf>
    <xf numFmtId="165" fontId="5" fillId="5" borderId="4" xfId="0" applyNumberFormat="1" applyFont="1" applyFill="1" applyBorder="1" applyAlignment="1">
      <alignment horizontal="center"/>
    </xf>
    <xf numFmtId="167" fontId="10" fillId="0" borderId="5" xfId="0" applyNumberFormat="1" applyFont="1" applyBorder="1" applyAlignment="1">
      <alignment horizontal="center"/>
    </xf>
    <xf numFmtId="167" fontId="10" fillId="0" borderId="4" xfId="0" applyNumberFormat="1" applyFont="1" applyBorder="1" applyAlignment="1">
      <alignment horizontal="center"/>
    </xf>
    <xf numFmtId="2" fontId="10" fillId="2" borderId="4" xfId="0" applyNumberFormat="1" applyFont="1" applyFill="1" applyBorder="1" applyAlignment="1" applyProtection="1">
      <alignment horizontal="center"/>
      <protection locked="0"/>
    </xf>
    <xf numFmtId="2" fontId="10" fillId="0" borderId="4" xfId="0" applyNumberFormat="1" applyFont="1" applyBorder="1" applyAlignment="1">
      <alignment horizontal="center"/>
    </xf>
    <xf numFmtId="167" fontId="10" fillId="2" borderId="4" xfId="0" applyNumberFormat="1" applyFont="1" applyFill="1" applyBorder="1" applyAlignment="1" applyProtection="1">
      <alignment horizontal="center"/>
      <protection locked="0"/>
    </xf>
    <xf numFmtId="2" fontId="1" fillId="3" borderId="4" xfId="0" applyNumberFormat="1" applyFont="1" applyFill="1" applyBorder="1" applyAlignment="1" applyProtection="1">
      <alignment horizontal="center"/>
      <protection locked="0"/>
    </xf>
    <xf numFmtId="4" fontId="5" fillId="0" borderId="0" xfId="0" applyNumberFormat="1" applyFont="1"/>
    <xf numFmtId="0" fontId="1" fillId="0" borderId="0" xfId="0" applyFont="1" applyAlignment="1">
      <alignment horizontal="left" vertical="center" wrapText="1"/>
    </xf>
    <xf numFmtId="0" fontId="6" fillId="2" borderId="4" xfId="0" applyFont="1" applyFill="1" applyBorder="1" applyAlignment="1" applyProtection="1">
      <alignment horizontal="center"/>
      <protection locked="0"/>
    </xf>
    <xf numFmtId="2" fontId="5" fillId="2" borderId="4" xfId="0" applyNumberFormat="1" applyFont="1" applyFill="1" applyBorder="1" applyAlignment="1" applyProtection="1">
      <alignment horizontal="center"/>
      <protection locked="0"/>
    </xf>
    <xf numFmtId="2" fontId="6" fillId="0" borderId="4" xfId="0" applyNumberFormat="1" applyFont="1" applyBorder="1" applyAlignment="1">
      <alignment horizontal="center"/>
    </xf>
    <xf numFmtId="167" fontId="5" fillId="5" borderId="4" xfId="0" applyNumberFormat="1" applyFont="1" applyFill="1" applyBorder="1" applyAlignment="1">
      <alignment horizontal="center"/>
    </xf>
    <xf numFmtId="167" fontId="5" fillId="2" borderId="4" xfId="0" applyNumberFormat="1" applyFont="1" applyFill="1" applyBorder="1" applyAlignment="1" applyProtection="1">
      <alignment horizontal="center"/>
      <protection locked="0"/>
    </xf>
    <xf numFmtId="167" fontId="5" fillId="0" borderId="4" xfId="0" applyNumberFormat="1" applyFont="1" applyBorder="1" applyAlignment="1">
      <alignment horizontal="center"/>
    </xf>
    <xf numFmtId="168" fontId="10" fillId="0" borderId="5" xfId="0" applyNumberFormat="1" applyFont="1" applyBorder="1" applyAlignment="1">
      <alignment horizontal="center"/>
    </xf>
    <xf numFmtId="3" fontId="10" fillId="0" borderId="5" xfId="0" applyNumberFormat="1" applyFont="1" applyBorder="1" applyAlignment="1">
      <alignment horizontal="center"/>
    </xf>
    <xf numFmtId="168" fontId="10" fillId="0" borderId="4" xfId="0" applyNumberFormat="1" applyFont="1" applyBorder="1" applyAlignment="1">
      <alignment horizontal="center"/>
    </xf>
    <xf numFmtId="3" fontId="10" fillId="2" borderId="4" xfId="0" applyNumberFormat="1" applyFont="1" applyFill="1" applyBorder="1" applyAlignment="1" applyProtection="1">
      <alignment horizontal="center"/>
      <protection locked="0"/>
    </xf>
    <xf numFmtId="168" fontId="10" fillId="2" borderId="4" xfId="0" applyNumberFormat="1" applyFont="1" applyFill="1" applyBorder="1" applyAlignment="1" applyProtection="1">
      <alignment horizontal="center"/>
      <protection locked="0"/>
    </xf>
    <xf numFmtId="167" fontId="1" fillId="3" borderId="4" xfId="0" applyNumberFormat="1" applyFont="1" applyFill="1" applyBorder="1" applyAlignment="1" applyProtection="1">
      <alignment horizontal="center"/>
      <protection locked="0"/>
    </xf>
    <xf numFmtId="3" fontId="1" fillId="2" borderId="4" xfId="0" applyNumberFormat="1" applyFont="1" applyFill="1" applyBorder="1" applyProtection="1">
      <protection locked="0"/>
    </xf>
    <xf numFmtId="167" fontId="1" fillId="2" borderId="4" xfId="0" applyNumberFormat="1" applyFont="1" applyFill="1" applyBorder="1" applyProtection="1">
      <protection locked="0"/>
    </xf>
    <xf numFmtId="167" fontId="6" fillId="0" borderId="4" xfId="0" applyNumberFormat="1" applyFont="1" applyBorder="1" applyAlignment="1">
      <alignment horizontal="center"/>
    </xf>
    <xf numFmtId="3" fontId="5" fillId="5" borderId="4" xfId="0" applyNumberFormat="1" applyFont="1" applyFill="1" applyBorder="1" applyAlignment="1">
      <alignment horizontal="center"/>
    </xf>
    <xf numFmtId="3" fontId="5" fillId="2" borderId="4" xfId="0" applyNumberFormat="1" applyFont="1" applyFill="1" applyBorder="1" applyAlignment="1" applyProtection="1">
      <alignment horizontal="center"/>
      <protection locked="0"/>
    </xf>
    <xf numFmtId="168" fontId="5" fillId="0" borderId="4" xfId="0" applyNumberFormat="1" applyFont="1" applyBorder="1" applyAlignment="1">
      <alignment horizontal="center"/>
    </xf>
    <xf numFmtId="168" fontId="5" fillId="2" borderId="4" xfId="0" applyNumberFormat="1" applyFont="1" applyFill="1" applyBorder="1" applyAlignment="1" applyProtection="1">
      <alignment horizontal="center"/>
      <protection locked="0"/>
    </xf>
    <xf numFmtId="1" fontId="5" fillId="0" borderId="5" xfId="0" applyNumberFormat="1" applyFont="1" applyBorder="1" applyAlignment="1">
      <alignment horizontal="right"/>
    </xf>
    <xf numFmtId="0" fontId="10" fillId="0" borderId="0" xfId="0" applyFont="1" applyAlignment="1">
      <alignment horizontal="center" wrapText="1"/>
    </xf>
    <xf numFmtId="3" fontId="5" fillId="0" borderId="4" xfId="0" applyNumberFormat="1" applyFont="1" applyBorder="1" applyAlignment="1">
      <alignment horizontal="center"/>
    </xf>
    <xf numFmtId="0" fontId="5" fillId="0" borderId="0" xfId="0" applyFont="1" applyAlignment="1">
      <alignment horizontal="left" wrapText="1"/>
    </xf>
    <xf numFmtId="0" fontId="3" fillId="0" borderId="11" xfId="0" applyFont="1" applyBorder="1"/>
    <xf numFmtId="169" fontId="10" fillId="0" borderId="5" xfId="0" applyNumberFormat="1" applyFont="1" applyBorder="1" applyAlignment="1">
      <alignment horizontal="center"/>
    </xf>
    <xf numFmtId="166" fontId="10" fillId="0" borderId="5" xfId="0" applyNumberFormat="1" applyFont="1" applyBorder="1" applyAlignment="1">
      <alignment horizontal="center"/>
    </xf>
    <xf numFmtId="0" fontId="1" fillId="2" borderId="25" xfId="0" applyFont="1" applyFill="1" applyBorder="1" applyProtection="1">
      <protection locked="0"/>
    </xf>
    <xf numFmtId="0" fontId="3" fillId="0" borderId="26" xfId="0" applyFont="1" applyBorder="1" applyProtection="1">
      <protection locked="0"/>
    </xf>
    <xf numFmtId="166" fontId="1" fillId="2" borderId="4" xfId="0" applyNumberFormat="1" applyFont="1" applyFill="1" applyBorder="1" applyProtection="1">
      <protection locked="0"/>
    </xf>
    <xf numFmtId="166" fontId="5" fillId="0" borderId="4" xfId="0" applyNumberFormat="1" applyFont="1" applyBorder="1" applyAlignment="1">
      <alignment horizontal="center"/>
    </xf>
    <xf numFmtId="166" fontId="5" fillId="5" borderId="4" xfId="0" applyNumberFormat="1" applyFont="1" applyFill="1" applyBorder="1" applyAlignment="1">
      <alignment horizontal="center"/>
    </xf>
    <xf numFmtId="164" fontId="10" fillId="0" borderId="5" xfId="0" applyNumberFormat="1" applyFont="1" applyBorder="1" applyAlignment="1">
      <alignment horizontal="center"/>
    </xf>
    <xf numFmtId="166" fontId="8" fillId="0" borderId="4" xfId="0" applyNumberFormat="1" applyFont="1" applyBorder="1"/>
    <xf numFmtId="166" fontId="8" fillId="0" borderId="4" xfId="0" applyNumberFormat="1" applyFont="1" applyBorder="1" applyAlignment="1">
      <alignment horizontal="center"/>
    </xf>
    <xf numFmtId="0" fontId="20" fillId="0" borderId="4" xfId="0" applyFont="1" applyBorder="1"/>
    <xf numFmtId="0" fontId="6" fillId="3" borderId="4" xfId="0" applyFont="1" applyFill="1" applyBorder="1" applyProtection="1">
      <protection locked="0"/>
    </xf>
    <xf numFmtId="166" fontId="1" fillId="3" borderId="4" xfId="0" applyNumberFormat="1" applyFont="1" applyFill="1" applyBorder="1" applyProtection="1">
      <protection locked="0"/>
    </xf>
    <xf numFmtId="1" fontId="1" fillId="3" borderId="27" xfId="0" applyNumberFormat="1" applyFont="1" applyFill="1" applyBorder="1" applyProtection="1">
      <protection locked="0"/>
    </xf>
    <xf numFmtId="0" fontId="3" fillId="0" borderId="28" xfId="0" applyFont="1" applyBorder="1" applyProtection="1">
      <protection locked="0"/>
    </xf>
    <xf numFmtId="164" fontId="10" fillId="0" borderId="4" xfId="0" applyNumberFormat="1" applyFont="1" applyBorder="1" applyAlignment="1">
      <alignment horizontal="center"/>
    </xf>
    <xf numFmtId="0" fontId="1" fillId="3" borderId="4" xfId="0" applyFont="1" applyFill="1" applyBorder="1" applyProtection="1">
      <protection locked="0"/>
    </xf>
    <xf numFmtId="0" fontId="1" fillId="3" borderId="25" xfId="0" applyFont="1" applyFill="1" applyBorder="1" applyProtection="1">
      <protection locked="0"/>
    </xf>
    <xf numFmtId="166" fontId="1" fillId="3" borderId="27" xfId="0" applyNumberFormat="1" applyFont="1" applyFill="1" applyBorder="1" applyProtection="1">
      <protection locked="0"/>
    </xf>
    <xf numFmtId="0" fontId="3" fillId="0" borderId="29" xfId="0" applyFont="1" applyBorder="1" applyProtection="1">
      <protection locked="0"/>
    </xf>
    <xf numFmtId="168" fontId="5" fillId="5" borderId="4" xfId="0" applyNumberFormat="1" applyFont="1" applyFill="1" applyBorder="1" applyAlignment="1">
      <alignment horizontal="center"/>
    </xf>
    <xf numFmtId="4" fontId="5" fillId="2" borderId="4" xfId="0" applyNumberFormat="1" applyFont="1" applyFill="1" applyBorder="1" applyAlignment="1" applyProtection="1">
      <alignment horizontal="center"/>
      <protection locked="0"/>
    </xf>
    <xf numFmtId="4" fontId="10" fillId="2" borderId="4" xfId="0" applyNumberFormat="1" applyFont="1" applyFill="1" applyBorder="1" applyAlignment="1" applyProtection="1">
      <alignment horizontal="center"/>
      <protection locked="0"/>
    </xf>
    <xf numFmtId="3" fontId="10" fillId="0" borderId="4" xfId="0" applyNumberFormat="1" applyFont="1" applyBorder="1" applyAlignment="1">
      <alignment horizontal="center"/>
    </xf>
    <xf numFmtId="0" fontId="5" fillId="0" borderId="10" xfId="0" applyFont="1" applyBorder="1" applyAlignment="1">
      <alignment horizontal="center"/>
    </xf>
    <xf numFmtId="0" fontId="3" fillId="0" borderId="12" xfId="0" applyFont="1" applyBorder="1"/>
    <xf numFmtId="4" fontId="1" fillId="2" borderId="4" xfId="0" applyNumberFormat="1" applyFont="1" applyFill="1" applyBorder="1" applyProtection="1">
      <protection locked="0"/>
    </xf>
    <xf numFmtId="2" fontId="1" fillId="2" borderId="4" xfId="0" applyNumberFormat="1" applyFont="1" applyFill="1" applyBorder="1" applyProtection="1">
      <protection locked="0"/>
    </xf>
    <xf numFmtId="166" fontId="8" fillId="0" borderId="11" xfId="0" applyNumberFormat="1" applyFont="1" applyBorder="1" applyAlignment="1">
      <alignment horizontal="left" vertical="top"/>
    </xf>
    <xf numFmtId="4" fontId="10" fillId="2" borderId="41" xfId="0" applyNumberFormat="1" applyFont="1" applyFill="1" applyBorder="1" applyAlignment="1" applyProtection="1">
      <alignment horizontal="center"/>
      <protection locked="0"/>
    </xf>
    <xf numFmtId="4" fontId="10" fillId="2" borderId="17" xfId="0" applyNumberFormat="1" applyFont="1" applyFill="1" applyBorder="1" applyAlignment="1" applyProtection="1">
      <alignment horizontal="center"/>
      <protection locked="0"/>
    </xf>
    <xf numFmtId="167" fontId="1" fillId="3" borderId="18" xfId="0" applyNumberFormat="1" applyFont="1" applyFill="1" applyBorder="1" applyAlignment="1" applyProtection="1">
      <alignment horizontal="center"/>
      <protection locked="0"/>
    </xf>
    <xf numFmtId="167" fontId="1" fillId="3" borderId="17" xfId="0" applyNumberFormat="1" applyFont="1" applyFill="1" applyBorder="1" applyAlignment="1" applyProtection="1">
      <alignment horizontal="center"/>
      <protection locked="0"/>
    </xf>
    <xf numFmtId="168" fontId="10" fillId="2" borderId="42" xfId="0" applyNumberFormat="1" applyFont="1" applyFill="1" applyBorder="1" applyAlignment="1" applyProtection="1">
      <alignment horizontal="center"/>
      <protection locked="0"/>
    </xf>
    <xf numFmtId="3" fontId="10" fillId="2" borderId="42" xfId="0" applyNumberFormat="1" applyFont="1" applyFill="1" applyBorder="1" applyAlignment="1" applyProtection="1">
      <alignment horizontal="center"/>
      <protection locked="0"/>
    </xf>
    <xf numFmtId="167" fontId="10" fillId="2" borderId="41" xfId="0" applyNumberFormat="1" applyFont="1" applyFill="1" applyBorder="1" applyAlignment="1" applyProtection="1">
      <alignment horizontal="center"/>
      <protection locked="0"/>
    </xf>
    <xf numFmtId="167" fontId="10" fillId="2" borderId="17" xfId="0" applyNumberFormat="1" applyFont="1" applyFill="1" applyBorder="1" applyAlignment="1" applyProtection="1">
      <alignment horizontal="center"/>
      <protection locked="0"/>
    </xf>
    <xf numFmtId="14" fontId="1" fillId="2" borderId="18" xfId="0" applyNumberFormat="1" applyFont="1" applyFill="1" applyBorder="1" applyAlignment="1" applyProtection="1">
      <alignment horizontal="right"/>
      <protection locked="0"/>
    </xf>
    <xf numFmtId="14" fontId="1" fillId="2" borderId="17" xfId="0" applyNumberFormat="1" applyFont="1" applyFill="1" applyBorder="1" applyAlignment="1" applyProtection="1">
      <alignment horizontal="right"/>
      <protection locked="0"/>
    </xf>
    <xf numFmtId="0" fontId="6" fillId="2" borderId="18" xfId="0" applyFont="1" applyFill="1" applyBorder="1" applyAlignment="1" applyProtection="1">
      <alignment horizontal="center"/>
      <protection locked="0"/>
    </xf>
    <xf numFmtId="0" fontId="6" fillId="2" borderId="17" xfId="0" applyFont="1" applyFill="1" applyBorder="1" applyAlignment="1" applyProtection="1">
      <alignment horizontal="center"/>
      <protection locked="0"/>
    </xf>
    <xf numFmtId="0" fontId="1" fillId="2" borderId="18" xfId="0" applyFont="1" applyFill="1" applyBorder="1" applyAlignment="1" applyProtection="1">
      <alignment horizontal="right"/>
      <protection locked="0"/>
    </xf>
    <xf numFmtId="0" fontId="1" fillId="2" borderId="17" xfId="0" applyFont="1" applyFill="1" applyBorder="1" applyAlignment="1" applyProtection="1">
      <alignment horizontal="right"/>
      <protection locked="0"/>
    </xf>
    <xf numFmtId="3" fontId="1" fillId="2" borderId="17" xfId="0" applyNumberFormat="1" applyFont="1" applyFill="1" applyBorder="1" applyProtection="1">
      <protection locked="0"/>
    </xf>
    <xf numFmtId="167" fontId="1" fillId="2" borderId="17" xfId="0" applyNumberFormat="1" applyFont="1" applyFill="1" applyBorder="1" applyProtection="1">
      <protection locked="0"/>
    </xf>
    <xf numFmtId="166" fontId="1" fillId="3" borderId="25" xfId="0" applyNumberFormat="1" applyFont="1" applyFill="1" applyBorder="1" applyProtection="1">
      <protection locked="0"/>
    </xf>
    <xf numFmtId="0" fontId="1" fillId="2" borderId="1" xfId="0" applyFont="1" applyFill="1" applyBorder="1" applyAlignment="1" applyProtection="1">
      <alignment horizontal="right" vertical="top" wrapText="1"/>
      <protection locked="0"/>
    </xf>
    <xf numFmtId="0" fontId="1" fillId="2" borderId="2" xfId="0" applyFont="1" applyFill="1" applyBorder="1" applyAlignment="1" applyProtection="1">
      <alignment horizontal="right" vertical="top" wrapText="1"/>
      <protection locked="0"/>
    </xf>
    <xf numFmtId="0" fontId="1" fillId="2" borderId="25" xfId="0" applyFont="1" applyFill="1" applyBorder="1" applyAlignment="1" applyProtection="1">
      <alignment horizontal="right" vertical="top" wrapText="1"/>
      <protection locked="0"/>
    </xf>
    <xf numFmtId="0" fontId="1" fillId="2" borderId="31" xfId="0" applyFont="1" applyFill="1" applyBorder="1" applyAlignment="1" applyProtection="1">
      <alignment horizontal="right" vertical="top" wrapText="1"/>
      <protection locked="0"/>
    </xf>
    <xf numFmtId="0" fontId="1" fillId="2" borderId="26" xfId="0" applyFont="1" applyFill="1" applyBorder="1" applyAlignment="1" applyProtection="1">
      <alignment horizontal="right" vertical="top" wrapText="1"/>
      <protection locked="0"/>
    </xf>
    <xf numFmtId="0" fontId="1" fillId="2" borderId="7" xfId="0" applyFont="1" applyFill="1" applyBorder="1" applyAlignment="1" applyProtection="1">
      <alignment horizontal="right" vertical="top" wrapText="1"/>
      <protection locked="0"/>
    </xf>
    <xf numFmtId="0" fontId="1" fillId="2" borderId="29" xfId="0" applyFont="1" applyFill="1" applyBorder="1" applyAlignment="1" applyProtection="1">
      <alignment horizontal="right" vertical="top" wrapText="1"/>
      <protection locked="0"/>
    </xf>
    <xf numFmtId="0" fontId="1" fillId="2" borderId="3" xfId="0" applyFont="1" applyFill="1" applyBorder="1" applyAlignment="1" applyProtection="1">
      <alignment horizontal="right" vertical="top" wrapText="1"/>
      <protection locked="0"/>
    </xf>
    <xf numFmtId="0" fontId="1" fillId="2" borderId="17" xfId="0" applyFont="1" applyFill="1" applyBorder="1" applyProtection="1">
      <protection locked="0"/>
    </xf>
    <xf numFmtId="0" fontId="1" fillId="2" borderId="43" xfId="0" applyFont="1" applyFill="1" applyBorder="1" applyProtection="1">
      <protection locked="0"/>
    </xf>
    <xf numFmtId="0" fontId="1" fillId="2" borderId="44" xfId="0" applyFont="1" applyFill="1" applyBorder="1" applyProtection="1">
      <protection locked="0"/>
    </xf>
    <xf numFmtId="1" fontId="1" fillId="2" borderId="18" xfId="0" applyNumberFormat="1" applyFont="1" applyFill="1" applyBorder="1" applyProtection="1">
      <protection locked="0"/>
    </xf>
    <xf numFmtId="1" fontId="1" fillId="2" borderId="17" xfId="0" applyNumberFormat="1" applyFont="1" applyFill="1" applyBorder="1" applyProtection="1">
      <protection locked="0"/>
    </xf>
    <xf numFmtId="1" fontId="5" fillId="0" borderId="4" xfId="0" applyNumberFormat="1" applyFont="1" applyBorder="1" applyAlignment="1">
      <alignment horizontal="right"/>
    </xf>
    <xf numFmtId="165" fontId="6" fillId="0" borderId="4" xfId="0" applyNumberFormat="1" applyFont="1" applyBorder="1" applyAlignment="1">
      <alignment horizontal="center"/>
    </xf>
    <xf numFmtId="0" fontId="1" fillId="0" borderId="1" xfId="0" applyFont="1" applyBorder="1" applyAlignment="1">
      <alignment horizontal="left"/>
    </xf>
    <xf numFmtId="0" fontId="21" fillId="0" borderId="4" xfId="0" applyFont="1" applyBorder="1" applyAlignment="1">
      <alignment horizontal="center"/>
    </xf>
    <xf numFmtId="0" fontId="5" fillId="0" borderId="4" xfId="0" applyFont="1" applyBorder="1"/>
    <xf numFmtId="0" fontId="21" fillId="0" borderId="4" xfId="0" applyFont="1" applyBorder="1" applyAlignment="1">
      <alignment horizontal="left" wrapText="1"/>
    </xf>
    <xf numFmtId="2" fontId="5" fillId="5" borderId="4" xfId="0" applyNumberFormat="1" applyFont="1" applyFill="1" applyBorder="1" applyAlignment="1">
      <alignment horizontal="center"/>
    </xf>
    <xf numFmtId="4" fontId="10" fillId="0" borderId="5" xfId="0" applyNumberFormat="1" applyFont="1" applyBorder="1" applyAlignment="1">
      <alignment horizontal="center"/>
    </xf>
    <xf numFmtId="2" fontId="10" fillId="0" borderId="5" xfId="0" applyNumberFormat="1" applyFont="1" applyBorder="1" applyAlignment="1">
      <alignment horizontal="center"/>
    </xf>
    <xf numFmtId="2" fontId="6" fillId="0" borderId="4" xfId="0" applyNumberFormat="1" applyFont="1" applyBorder="1" applyAlignment="1">
      <alignment horizontal="left"/>
    </xf>
    <xf numFmtId="0" fontId="10" fillId="0" borderId="0" xfId="0" applyFont="1" applyAlignment="1">
      <alignment horizontal="center"/>
    </xf>
    <xf numFmtId="0" fontId="3" fillId="0" borderId="3" xfId="0" applyFont="1" applyBorder="1"/>
    <xf numFmtId="2" fontId="5" fillId="0" borderId="11" xfId="0" applyNumberFormat="1" applyFont="1" applyBorder="1" applyAlignment="1">
      <alignment horizontal="left"/>
    </xf>
    <xf numFmtId="2" fontId="1" fillId="0" borderId="4" xfId="0" applyNumberFormat="1" applyFont="1" applyBorder="1" applyAlignment="1">
      <alignment horizontal="center"/>
    </xf>
    <xf numFmtId="0" fontId="14" fillId="0" borderId="0" xfId="0" applyFont="1" applyAlignment="1">
      <alignment horizontal="left"/>
    </xf>
    <xf numFmtId="2" fontId="5" fillId="0" borderId="4" xfId="0" applyNumberFormat="1" applyFont="1" applyBorder="1" applyAlignment="1">
      <alignment horizontal="center"/>
    </xf>
    <xf numFmtId="0" fontId="1" fillId="0" borderId="0" xfId="0" applyFont="1" applyAlignment="1">
      <alignment horizontal="center"/>
    </xf>
    <xf numFmtId="165" fontId="6" fillId="0" borderId="9" xfId="0" applyNumberFormat="1" applyFont="1" applyBorder="1" applyAlignment="1">
      <alignment horizontal="center"/>
    </xf>
    <xf numFmtId="165" fontId="5" fillId="0" borderId="0" xfId="0" applyNumberFormat="1" applyFont="1" applyAlignment="1">
      <alignment horizontal="center"/>
    </xf>
    <xf numFmtId="165" fontId="5" fillId="0" borderId="1" xfId="0" applyNumberFormat="1" applyFont="1" applyBorder="1" applyAlignment="1">
      <alignment horizontal="center"/>
    </xf>
    <xf numFmtId="0" fontId="1" fillId="3" borderId="4" xfId="0" applyFont="1" applyFill="1" applyBorder="1" applyAlignment="1" applyProtection="1">
      <alignment horizontal="center" vertical="center" wrapText="1"/>
      <protection locked="0"/>
    </xf>
    <xf numFmtId="0" fontId="1" fillId="0" borderId="4" xfId="0" applyFont="1" applyBorder="1" applyAlignment="1">
      <alignment horizontal="center" vertical="center" wrapText="1"/>
    </xf>
    <xf numFmtId="0" fontId="9" fillId="4" borderId="4" xfId="0" applyFont="1" applyFill="1" applyBorder="1" applyAlignment="1">
      <alignment horizontal="center" vertical="center"/>
    </xf>
    <xf numFmtId="0" fontId="21" fillId="0" borderId="4"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7" xfId="0" applyFont="1" applyBorder="1" applyAlignment="1">
      <alignment horizontal="center" vertical="center" wrapText="1"/>
    </xf>
    <xf numFmtId="166" fontId="8" fillId="0" borderId="0" xfId="0" applyNumberFormat="1" applyFont="1"/>
    <xf numFmtId="166" fontId="8" fillId="0" borderId="0" xfId="0" applyNumberFormat="1" applyFont="1" applyAlignment="1">
      <alignment horizontal="center"/>
    </xf>
    <xf numFmtId="0" fontId="1" fillId="2" borderId="25" xfId="0" applyFont="1" applyFill="1" applyBorder="1" applyAlignment="1" applyProtection="1">
      <alignment horizontal="right"/>
      <protection locked="0"/>
    </xf>
    <xf numFmtId="0" fontId="3" fillId="0" borderId="31" xfId="0" applyFont="1" applyBorder="1" applyProtection="1">
      <protection locked="0"/>
    </xf>
    <xf numFmtId="1" fontId="1" fillId="0" borderId="1" xfId="0" applyNumberFormat="1" applyFont="1" applyBorder="1"/>
    <xf numFmtId="49" fontId="1" fillId="2" borderId="4" xfId="0" applyNumberFormat="1" applyFont="1" applyFill="1" applyBorder="1" applyAlignment="1" applyProtection="1">
      <alignment horizontal="right"/>
      <protection locked="0"/>
    </xf>
    <xf numFmtId="1" fontId="1" fillId="2" borderId="25" xfId="0" applyNumberFormat="1" applyFont="1" applyFill="1" applyBorder="1" applyProtection="1">
      <protection locked="0"/>
    </xf>
    <xf numFmtId="1" fontId="1" fillId="0" borderId="40" xfId="0" applyNumberFormat="1" applyFont="1" applyBorder="1"/>
    <xf numFmtId="0" fontId="3" fillId="0" borderId="40" xfId="0" applyFont="1" applyBorder="1"/>
    <xf numFmtId="165" fontId="6" fillId="0" borderId="7" xfId="0" applyNumberFormat="1" applyFont="1" applyBorder="1" applyAlignment="1">
      <alignment horizontal="center"/>
    </xf>
    <xf numFmtId="0" fontId="5" fillId="0" borderId="7" xfId="0" applyFont="1" applyBorder="1" applyAlignment="1">
      <alignment horizontal="center"/>
    </xf>
    <xf numFmtId="0" fontId="8" fillId="0" borderId="4" xfId="0" applyFont="1" applyBorder="1" applyAlignment="1">
      <alignment horizontal="left" vertical="center" wrapText="1"/>
    </xf>
    <xf numFmtId="0" fontId="5" fillId="0" borderId="4" xfId="0" applyFont="1" applyBorder="1" applyAlignment="1">
      <alignment horizontal="center" vertical="center" wrapText="1"/>
    </xf>
    <xf numFmtId="3" fontId="1" fillId="2" borderId="25" xfId="0" applyNumberFormat="1" applyFont="1" applyFill="1" applyBorder="1" applyProtection="1">
      <protection locked="0"/>
    </xf>
    <xf numFmtId="1" fontId="1" fillId="0" borderId="4" xfId="0" applyNumberFormat="1"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5.png"/><Relationship Id="rId5" Type="http://schemas.openxmlformats.org/officeDocument/2006/relationships/image" Target="../media/image17.png"/><Relationship Id="rId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g"/><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jpg"/><Relationship Id="rId1" Type="http://schemas.openxmlformats.org/officeDocument/2006/relationships/image" Target="../media/image3.jp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oneCellAnchor>
    <xdr:from>
      <xdr:col>1</xdr:col>
      <xdr:colOff>190500</xdr:colOff>
      <xdr:row>130</xdr:row>
      <xdr:rowOff>0</xdr:rowOff>
    </xdr:from>
    <xdr:ext cx="190500" cy="266700"/>
    <xdr:sp macro="" textlink="">
      <xdr:nvSpPr>
        <xdr:cNvPr id="3" name="Shape 3">
          <a:extLst>
            <a:ext uri="{FF2B5EF4-FFF2-40B4-BE49-F238E27FC236}">
              <a16:creationId xmlns:a16="http://schemas.microsoft.com/office/drawing/2014/main" id="{00000000-0008-0000-0000-000003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190500</xdr:colOff>
      <xdr:row>130</xdr:row>
      <xdr:rowOff>0</xdr:rowOff>
    </xdr:from>
    <xdr:ext cx="190500" cy="266700"/>
    <xdr:sp macro="" textlink="">
      <xdr:nvSpPr>
        <xdr:cNvPr id="2" name="Shape 3">
          <a:extLst>
            <a:ext uri="{FF2B5EF4-FFF2-40B4-BE49-F238E27FC236}">
              <a16:creationId xmlns:a16="http://schemas.microsoft.com/office/drawing/2014/main" id="{00000000-0008-0000-0000-000002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11</xdr:col>
      <xdr:colOff>257175</xdr:colOff>
      <xdr:row>1</xdr:row>
      <xdr:rowOff>123825</xdr:rowOff>
    </xdr:from>
    <xdr:ext cx="485775" cy="209550"/>
    <xdr:sp macro="" textlink="">
      <xdr:nvSpPr>
        <xdr:cNvPr id="4" name="Shape 4">
          <a:extLst>
            <a:ext uri="{FF2B5EF4-FFF2-40B4-BE49-F238E27FC236}">
              <a16:creationId xmlns:a16="http://schemas.microsoft.com/office/drawing/2014/main" id="{00000000-0008-0000-0000-000004000000}"/>
            </a:ext>
          </a:extLst>
        </xdr:cNvPr>
        <xdr:cNvSpPr/>
      </xdr:nvSpPr>
      <xdr:spPr>
        <a:xfrm>
          <a:off x="5107875" y="3679988"/>
          <a:ext cx="476250" cy="200025"/>
        </a:xfrm>
        <a:prstGeom prst="ellipse">
          <a:avLst/>
        </a:prstGeom>
        <a:noFill/>
        <a:ln w="9525" cap="flat" cmpd="sng">
          <a:solidFill>
            <a:schemeClr val="dk1"/>
          </a:solidFill>
          <a:prstDash val="solid"/>
          <a:round/>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endParaRPr sz="1100"/>
        </a:p>
      </xdr:txBody>
    </xdr:sp>
    <xdr:clientData fLocksWithSheet="0"/>
  </xdr:oneCellAnchor>
  <xdr:oneCellAnchor>
    <xdr:from>
      <xdr:col>1</xdr:col>
      <xdr:colOff>190500</xdr:colOff>
      <xdr:row>120</xdr:row>
      <xdr:rowOff>0</xdr:rowOff>
    </xdr:from>
    <xdr:ext cx="190500" cy="266700"/>
    <xdr:sp macro="" textlink="">
      <xdr:nvSpPr>
        <xdr:cNvPr id="5" name="Shape 3">
          <a:extLst>
            <a:ext uri="{FF2B5EF4-FFF2-40B4-BE49-F238E27FC236}">
              <a16:creationId xmlns:a16="http://schemas.microsoft.com/office/drawing/2014/main" id="{00000000-0008-0000-0000-000005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190500</xdr:colOff>
      <xdr:row>120</xdr:row>
      <xdr:rowOff>0</xdr:rowOff>
    </xdr:from>
    <xdr:ext cx="190500" cy="266700"/>
    <xdr:sp macro="" textlink="">
      <xdr:nvSpPr>
        <xdr:cNvPr id="6" name="Shape 3">
          <a:extLst>
            <a:ext uri="{FF2B5EF4-FFF2-40B4-BE49-F238E27FC236}">
              <a16:creationId xmlns:a16="http://schemas.microsoft.com/office/drawing/2014/main" id="{00000000-0008-0000-0000-000006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58</xdr:row>
      <xdr:rowOff>0</xdr:rowOff>
    </xdr:from>
    <xdr:ext cx="190500" cy="266700"/>
    <xdr:sp macro="" textlink="">
      <xdr:nvSpPr>
        <xdr:cNvPr id="7" name="Shape 5">
          <a:extLst>
            <a:ext uri="{FF2B5EF4-FFF2-40B4-BE49-F238E27FC236}">
              <a16:creationId xmlns:a16="http://schemas.microsoft.com/office/drawing/2014/main" id="{00000000-0008-0000-0000-000007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58</xdr:row>
      <xdr:rowOff>0</xdr:rowOff>
    </xdr:from>
    <xdr:ext cx="190500" cy="266700"/>
    <xdr:sp macro="" textlink="">
      <xdr:nvSpPr>
        <xdr:cNvPr id="8" name="Shape 5">
          <a:extLst>
            <a:ext uri="{FF2B5EF4-FFF2-40B4-BE49-F238E27FC236}">
              <a16:creationId xmlns:a16="http://schemas.microsoft.com/office/drawing/2014/main" id="{00000000-0008-0000-0000-000008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57</xdr:row>
      <xdr:rowOff>0</xdr:rowOff>
    </xdr:from>
    <xdr:ext cx="190500" cy="266700"/>
    <xdr:sp macro="" textlink="">
      <xdr:nvSpPr>
        <xdr:cNvPr id="9" name="Shape 5">
          <a:extLst>
            <a:ext uri="{FF2B5EF4-FFF2-40B4-BE49-F238E27FC236}">
              <a16:creationId xmlns:a16="http://schemas.microsoft.com/office/drawing/2014/main" id="{00000000-0008-0000-0000-000009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200025</xdr:colOff>
      <xdr:row>120</xdr:row>
      <xdr:rowOff>0</xdr:rowOff>
    </xdr:from>
    <xdr:ext cx="190500" cy="266700"/>
    <xdr:sp macro="" textlink="">
      <xdr:nvSpPr>
        <xdr:cNvPr id="10" name="Shape 3">
          <a:extLst>
            <a:ext uri="{FF2B5EF4-FFF2-40B4-BE49-F238E27FC236}">
              <a16:creationId xmlns:a16="http://schemas.microsoft.com/office/drawing/2014/main" id="{00000000-0008-0000-0000-00000A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200025</xdr:colOff>
      <xdr:row>120</xdr:row>
      <xdr:rowOff>0</xdr:rowOff>
    </xdr:from>
    <xdr:ext cx="190500" cy="266700"/>
    <xdr:sp macro="" textlink="">
      <xdr:nvSpPr>
        <xdr:cNvPr id="11" name="Shape 3">
          <a:extLst>
            <a:ext uri="{FF2B5EF4-FFF2-40B4-BE49-F238E27FC236}">
              <a16:creationId xmlns:a16="http://schemas.microsoft.com/office/drawing/2014/main" id="{00000000-0008-0000-0000-00000B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190500</xdr:colOff>
      <xdr:row>120</xdr:row>
      <xdr:rowOff>0</xdr:rowOff>
    </xdr:from>
    <xdr:ext cx="190500" cy="266700"/>
    <xdr:sp macro="" textlink="">
      <xdr:nvSpPr>
        <xdr:cNvPr id="12" name="Shape 3">
          <a:extLst>
            <a:ext uri="{FF2B5EF4-FFF2-40B4-BE49-F238E27FC236}">
              <a16:creationId xmlns:a16="http://schemas.microsoft.com/office/drawing/2014/main" id="{00000000-0008-0000-0000-00000C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190500</xdr:colOff>
      <xdr:row>120</xdr:row>
      <xdr:rowOff>0</xdr:rowOff>
    </xdr:from>
    <xdr:ext cx="190500" cy="266700"/>
    <xdr:sp macro="" textlink="">
      <xdr:nvSpPr>
        <xdr:cNvPr id="13" name="Shape 3">
          <a:extLst>
            <a:ext uri="{FF2B5EF4-FFF2-40B4-BE49-F238E27FC236}">
              <a16:creationId xmlns:a16="http://schemas.microsoft.com/office/drawing/2014/main" id="{00000000-0008-0000-0000-00000D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59</xdr:row>
      <xdr:rowOff>0</xdr:rowOff>
    </xdr:from>
    <xdr:ext cx="190500" cy="266700"/>
    <xdr:sp macro="" textlink="">
      <xdr:nvSpPr>
        <xdr:cNvPr id="14" name="Shape 5">
          <a:extLst>
            <a:ext uri="{FF2B5EF4-FFF2-40B4-BE49-F238E27FC236}">
              <a16:creationId xmlns:a16="http://schemas.microsoft.com/office/drawing/2014/main" id="{00000000-0008-0000-0000-00000E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59</xdr:row>
      <xdr:rowOff>0</xdr:rowOff>
    </xdr:from>
    <xdr:ext cx="190500" cy="266700"/>
    <xdr:sp macro="" textlink="">
      <xdr:nvSpPr>
        <xdr:cNvPr id="15" name="Shape 5">
          <a:extLst>
            <a:ext uri="{FF2B5EF4-FFF2-40B4-BE49-F238E27FC236}">
              <a16:creationId xmlns:a16="http://schemas.microsoft.com/office/drawing/2014/main" id="{00000000-0008-0000-0000-00000F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60</xdr:row>
      <xdr:rowOff>0</xdr:rowOff>
    </xdr:from>
    <xdr:ext cx="190500" cy="266700"/>
    <xdr:sp macro="" textlink="">
      <xdr:nvSpPr>
        <xdr:cNvPr id="16" name="Shape 5">
          <a:extLst>
            <a:ext uri="{FF2B5EF4-FFF2-40B4-BE49-F238E27FC236}">
              <a16:creationId xmlns:a16="http://schemas.microsoft.com/office/drawing/2014/main" id="{00000000-0008-0000-0000-000010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60</xdr:row>
      <xdr:rowOff>0</xdr:rowOff>
    </xdr:from>
    <xdr:ext cx="190500" cy="266700"/>
    <xdr:sp macro="" textlink="">
      <xdr:nvSpPr>
        <xdr:cNvPr id="17" name="Shape 5">
          <a:extLst>
            <a:ext uri="{FF2B5EF4-FFF2-40B4-BE49-F238E27FC236}">
              <a16:creationId xmlns:a16="http://schemas.microsoft.com/office/drawing/2014/main" id="{00000000-0008-0000-0000-000011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61</xdr:row>
      <xdr:rowOff>0</xdr:rowOff>
    </xdr:from>
    <xdr:ext cx="190500" cy="266700"/>
    <xdr:sp macro="" textlink="">
      <xdr:nvSpPr>
        <xdr:cNvPr id="18" name="Shape 5">
          <a:extLst>
            <a:ext uri="{FF2B5EF4-FFF2-40B4-BE49-F238E27FC236}">
              <a16:creationId xmlns:a16="http://schemas.microsoft.com/office/drawing/2014/main" id="{00000000-0008-0000-0000-000012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61</xdr:row>
      <xdr:rowOff>0</xdr:rowOff>
    </xdr:from>
    <xdr:ext cx="190500" cy="266700"/>
    <xdr:sp macro="" textlink="">
      <xdr:nvSpPr>
        <xdr:cNvPr id="19" name="Shape 5">
          <a:extLst>
            <a:ext uri="{FF2B5EF4-FFF2-40B4-BE49-F238E27FC236}">
              <a16:creationId xmlns:a16="http://schemas.microsoft.com/office/drawing/2014/main" id="{00000000-0008-0000-0000-000013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61</xdr:row>
      <xdr:rowOff>0</xdr:rowOff>
    </xdr:from>
    <xdr:ext cx="190500" cy="266700"/>
    <xdr:sp macro="" textlink="">
      <xdr:nvSpPr>
        <xdr:cNvPr id="20" name="Shape 5">
          <a:extLst>
            <a:ext uri="{FF2B5EF4-FFF2-40B4-BE49-F238E27FC236}">
              <a16:creationId xmlns:a16="http://schemas.microsoft.com/office/drawing/2014/main" id="{00000000-0008-0000-0000-000014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61</xdr:row>
      <xdr:rowOff>0</xdr:rowOff>
    </xdr:from>
    <xdr:ext cx="190500" cy="266700"/>
    <xdr:sp macro="" textlink="">
      <xdr:nvSpPr>
        <xdr:cNvPr id="21" name="Shape 5">
          <a:extLst>
            <a:ext uri="{FF2B5EF4-FFF2-40B4-BE49-F238E27FC236}">
              <a16:creationId xmlns:a16="http://schemas.microsoft.com/office/drawing/2014/main" id="{00000000-0008-0000-0000-000015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62</xdr:row>
      <xdr:rowOff>0</xdr:rowOff>
    </xdr:from>
    <xdr:ext cx="190500" cy="266700"/>
    <xdr:sp macro="" textlink="">
      <xdr:nvSpPr>
        <xdr:cNvPr id="22" name="Shape 5">
          <a:extLst>
            <a:ext uri="{FF2B5EF4-FFF2-40B4-BE49-F238E27FC236}">
              <a16:creationId xmlns:a16="http://schemas.microsoft.com/office/drawing/2014/main" id="{00000000-0008-0000-0000-000016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62</xdr:row>
      <xdr:rowOff>0</xdr:rowOff>
    </xdr:from>
    <xdr:ext cx="190500" cy="266700"/>
    <xdr:sp macro="" textlink="">
      <xdr:nvSpPr>
        <xdr:cNvPr id="23" name="Shape 5">
          <a:extLst>
            <a:ext uri="{FF2B5EF4-FFF2-40B4-BE49-F238E27FC236}">
              <a16:creationId xmlns:a16="http://schemas.microsoft.com/office/drawing/2014/main" id="{00000000-0008-0000-0000-000017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62</xdr:row>
      <xdr:rowOff>0</xdr:rowOff>
    </xdr:from>
    <xdr:ext cx="190500" cy="266700"/>
    <xdr:sp macro="" textlink="">
      <xdr:nvSpPr>
        <xdr:cNvPr id="24" name="Shape 5">
          <a:extLst>
            <a:ext uri="{FF2B5EF4-FFF2-40B4-BE49-F238E27FC236}">
              <a16:creationId xmlns:a16="http://schemas.microsoft.com/office/drawing/2014/main" id="{00000000-0008-0000-0000-000018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62</xdr:row>
      <xdr:rowOff>0</xdr:rowOff>
    </xdr:from>
    <xdr:ext cx="190500" cy="266700"/>
    <xdr:sp macro="" textlink="">
      <xdr:nvSpPr>
        <xdr:cNvPr id="25" name="Shape 5">
          <a:extLst>
            <a:ext uri="{FF2B5EF4-FFF2-40B4-BE49-F238E27FC236}">
              <a16:creationId xmlns:a16="http://schemas.microsoft.com/office/drawing/2014/main" id="{00000000-0008-0000-0000-000019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63</xdr:row>
      <xdr:rowOff>0</xdr:rowOff>
    </xdr:from>
    <xdr:ext cx="190500" cy="266700"/>
    <xdr:sp macro="" textlink="">
      <xdr:nvSpPr>
        <xdr:cNvPr id="26" name="Shape 5">
          <a:extLst>
            <a:ext uri="{FF2B5EF4-FFF2-40B4-BE49-F238E27FC236}">
              <a16:creationId xmlns:a16="http://schemas.microsoft.com/office/drawing/2014/main" id="{00000000-0008-0000-0000-00001A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63</xdr:row>
      <xdr:rowOff>0</xdr:rowOff>
    </xdr:from>
    <xdr:ext cx="190500" cy="266700"/>
    <xdr:sp macro="" textlink="">
      <xdr:nvSpPr>
        <xdr:cNvPr id="27" name="Shape 5">
          <a:extLst>
            <a:ext uri="{FF2B5EF4-FFF2-40B4-BE49-F238E27FC236}">
              <a16:creationId xmlns:a16="http://schemas.microsoft.com/office/drawing/2014/main" id="{00000000-0008-0000-0000-00001B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58</xdr:row>
      <xdr:rowOff>0</xdr:rowOff>
    </xdr:from>
    <xdr:ext cx="190500" cy="266700"/>
    <xdr:sp macro="" textlink="">
      <xdr:nvSpPr>
        <xdr:cNvPr id="28" name="Shape 5">
          <a:extLst>
            <a:ext uri="{FF2B5EF4-FFF2-40B4-BE49-F238E27FC236}">
              <a16:creationId xmlns:a16="http://schemas.microsoft.com/office/drawing/2014/main" id="{00000000-0008-0000-0000-00001C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59</xdr:row>
      <xdr:rowOff>0</xdr:rowOff>
    </xdr:from>
    <xdr:ext cx="190500" cy="266700"/>
    <xdr:sp macro="" textlink="">
      <xdr:nvSpPr>
        <xdr:cNvPr id="29" name="Shape 5">
          <a:extLst>
            <a:ext uri="{FF2B5EF4-FFF2-40B4-BE49-F238E27FC236}">
              <a16:creationId xmlns:a16="http://schemas.microsoft.com/office/drawing/2014/main" id="{00000000-0008-0000-0000-00001D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60</xdr:row>
      <xdr:rowOff>0</xdr:rowOff>
    </xdr:from>
    <xdr:ext cx="190500" cy="266700"/>
    <xdr:sp macro="" textlink="">
      <xdr:nvSpPr>
        <xdr:cNvPr id="30" name="Shape 5">
          <a:extLst>
            <a:ext uri="{FF2B5EF4-FFF2-40B4-BE49-F238E27FC236}">
              <a16:creationId xmlns:a16="http://schemas.microsoft.com/office/drawing/2014/main" id="{00000000-0008-0000-0000-00001E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61</xdr:row>
      <xdr:rowOff>0</xdr:rowOff>
    </xdr:from>
    <xdr:ext cx="190500" cy="266700"/>
    <xdr:sp macro="" textlink="">
      <xdr:nvSpPr>
        <xdr:cNvPr id="31" name="Shape 5">
          <a:extLst>
            <a:ext uri="{FF2B5EF4-FFF2-40B4-BE49-F238E27FC236}">
              <a16:creationId xmlns:a16="http://schemas.microsoft.com/office/drawing/2014/main" id="{00000000-0008-0000-0000-00001F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62</xdr:row>
      <xdr:rowOff>0</xdr:rowOff>
    </xdr:from>
    <xdr:ext cx="190500" cy="266700"/>
    <xdr:sp macro="" textlink="">
      <xdr:nvSpPr>
        <xdr:cNvPr id="32" name="Shape 5">
          <a:extLst>
            <a:ext uri="{FF2B5EF4-FFF2-40B4-BE49-F238E27FC236}">
              <a16:creationId xmlns:a16="http://schemas.microsoft.com/office/drawing/2014/main" id="{00000000-0008-0000-0000-000020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63</xdr:row>
      <xdr:rowOff>0</xdr:rowOff>
    </xdr:from>
    <xdr:ext cx="190500" cy="266700"/>
    <xdr:sp macro="" textlink="">
      <xdr:nvSpPr>
        <xdr:cNvPr id="33" name="Shape 5">
          <a:extLst>
            <a:ext uri="{FF2B5EF4-FFF2-40B4-BE49-F238E27FC236}">
              <a16:creationId xmlns:a16="http://schemas.microsoft.com/office/drawing/2014/main" id="{00000000-0008-0000-0000-000021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twoCellAnchor editAs="oneCell">
    <xdr:from>
      <xdr:col>0</xdr:col>
      <xdr:colOff>42333</xdr:colOff>
      <xdr:row>0</xdr:row>
      <xdr:rowOff>42334</xdr:rowOff>
    </xdr:from>
    <xdr:to>
      <xdr:col>5</xdr:col>
      <xdr:colOff>222873</xdr:colOff>
      <xdr:row>2</xdr:row>
      <xdr:rowOff>143126</xdr:rowOff>
    </xdr:to>
    <xdr:pic>
      <xdr:nvPicPr>
        <xdr:cNvPr id="38" name="Picture 37">
          <a:extLst>
            <a:ext uri="{FF2B5EF4-FFF2-40B4-BE49-F238E27FC236}">
              <a16:creationId xmlns:a16="http://schemas.microsoft.com/office/drawing/2014/main" id="{2D9BDA71-98AE-454C-9002-C31B8C5F2B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3" y="42334"/>
          <a:ext cx="2285565" cy="54846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200025</xdr:colOff>
      <xdr:row>77</xdr:row>
      <xdr:rowOff>0</xdr:rowOff>
    </xdr:from>
    <xdr:ext cx="190500" cy="266700"/>
    <xdr:sp macro="" textlink="">
      <xdr:nvSpPr>
        <xdr:cNvPr id="5" name="Shape 5">
          <a:extLst>
            <a:ext uri="{FF2B5EF4-FFF2-40B4-BE49-F238E27FC236}">
              <a16:creationId xmlns:a16="http://schemas.microsoft.com/office/drawing/2014/main" id="{00000000-0008-0000-0900-000005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200025</xdr:colOff>
      <xdr:row>77</xdr:row>
      <xdr:rowOff>0</xdr:rowOff>
    </xdr:from>
    <xdr:ext cx="190500" cy="266700"/>
    <xdr:sp macro="" textlink="">
      <xdr:nvSpPr>
        <xdr:cNvPr id="2" name="Shape 5">
          <a:extLst>
            <a:ext uri="{FF2B5EF4-FFF2-40B4-BE49-F238E27FC236}">
              <a16:creationId xmlns:a16="http://schemas.microsoft.com/office/drawing/2014/main" id="{00000000-0008-0000-0900-000002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190500</xdr:colOff>
      <xdr:row>77</xdr:row>
      <xdr:rowOff>0</xdr:rowOff>
    </xdr:from>
    <xdr:ext cx="190500" cy="266700"/>
    <xdr:sp macro="" textlink="">
      <xdr:nvSpPr>
        <xdr:cNvPr id="3" name="Shape 5">
          <a:extLst>
            <a:ext uri="{FF2B5EF4-FFF2-40B4-BE49-F238E27FC236}">
              <a16:creationId xmlns:a16="http://schemas.microsoft.com/office/drawing/2014/main" id="{00000000-0008-0000-0900-000003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190500</xdr:colOff>
      <xdr:row>77</xdr:row>
      <xdr:rowOff>0</xdr:rowOff>
    </xdr:from>
    <xdr:ext cx="190500" cy="266700"/>
    <xdr:sp macro="" textlink="">
      <xdr:nvSpPr>
        <xdr:cNvPr id="4" name="Shape 5">
          <a:extLst>
            <a:ext uri="{FF2B5EF4-FFF2-40B4-BE49-F238E27FC236}">
              <a16:creationId xmlns:a16="http://schemas.microsoft.com/office/drawing/2014/main" id="{00000000-0008-0000-0900-000004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200025</xdr:colOff>
      <xdr:row>77</xdr:row>
      <xdr:rowOff>0</xdr:rowOff>
    </xdr:from>
    <xdr:ext cx="190500" cy="266700"/>
    <xdr:sp macro="" textlink="">
      <xdr:nvSpPr>
        <xdr:cNvPr id="6" name="Shape 5">
          <a:extLst>
            <a:ext uri="{FF2B5EF4-FFF2-40B4-BE49-F238E27FC236}">
              <a16:creationId xmlns:a16="http://schemas.microsoft.com/office/drawing/2014/main" id="{00000000-0008-0000-0900-000006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200025</xdr:colOff>
      <xdr:row>77</xdr:row>
      <xdr:rowOff>0</xdr:rowOff>
    </xdr:from>
    <xdr:ext cx="190500" cy="266700"/>
    <xdr:sp macro="" textlink="">
      <xdr:nvSpPr>
        <xdr:cNvPr id="7" name="Shape 5">
          <a:extLst>
            <a:ext uri="{FF2B5EF4-FFF2-40B4-BE49-F238E27FC236}">
              <a16:creationId xmlns:a16="http://schemas.microsoft.com/office/drawing/2014/main" id="{00000000-0008-0000-0900-000007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200025</xdr:colOff>
      <xdr:row>77</xdr:row>
      <xdr:rowOff>0</xdr:rowOff>
    </xdr:from>
    <xdr:ext cx="190500" cy="266700"/>
    <xdr:sp macro="" textlink="">
      <xdr:nvSpPr>
        <xdr:cNvPr id="8" name="Shape 5">
          <a:extLst>
            <a:ext uri="{FF2B5EF4-FFF2-40B4-BE49-F238E27FC236}">
              <a16:creationId xmlns:a16="http://schemas.microsoft.com/office/drawing/2014/main" id="{00000000-0008-0000-0900-000008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200025</xdr:colOff>
      <xdr:row>77</xdr:row>
      <xdr:rowOff>0</xdr:rowOff>
    </xdr:from>
    <xdr:ext cx="190500" cy="266700"/>
    <xdr:sp macro="" textlink="">
      <xdr:nvSpPr>
        <xdr:cNvPr id="9" name="Shape 5">
          <a:extLst>
            <a:ext uri="{FF2B5EF4-FFF2-40B4-BE49-F238E27FC236}">
              <a16:creationId xmlns:a16="http://schemas.microsoft.com/office/drawing/2014/main" id="{00000000-0008-0000-0900-000009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190500</xdr:colOff>
      <xdr:row>77</xdr:row>
      <xdr:rowOff>0</xdr:rowOff>
    </xdr:from>
    <xdr:ext cx="190500" cy="266700"/>
    <xdr:sp macro="" textlink="">
      <xdr:nvSpPr>
        <xdr:cNvPr id="10" name="Shape 5">
          <a:extLst>
            <a:ext uri="{FF2B5EF4-FFF2-40B4-BE49-F238E27FC236}">
              <a16:creationId xmlns:a16="http://schemas.microsoft.com/office/drawing/2014/main" id="{00000000-0008-0000-0900-00000A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190500</xdr:colOff>
      <xdr:row>77</xdr:row>
      <xdr:rowOff>0</xdr:rowOff>
    </xdr:from>
    <xdr:ext cx="190500" cy="266700"/>
    <xdr:sp macro="" textlink="">
      <xdr:nvSpPr>
        <xdr:cNvPr id="11" name="Shape 5">
          <a:extLst>
            <a:ext uri="{FF2B5EF4-FFF2-40B4-BE49-F238E27FC236}">
              <a16:creationId xmlns:a16="http://schemas.microsoft.com/office/drawing/2014/main" id="{00000000-0008-0000-0900-00000B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200025</xdr:colOff>
      <xdr:row>77</xdr:row>
      <xdr:rowOff>0</xdr:rowOff>
    </xdr:from>
    <xdr:ext cx="190500" cy="266700"/>
    <xdr:sp macro="" textlink="">
      <xdr:nvSpPr>
        <xdr:cNvPr id="12" name="Shape 5">
          <a:extLst>
            <a:ext uri="{FF2B5EF4-FFF2-40B4-BE49-F238E27FC236}">
              <a16:creationId xmlns:a16="http://schemas.microsoft.com/office/drawing/2014/main" id="{00000000-0008-0000-0900-00000C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200025</xdr:colOff>
      <xdr:row>77</xdr:row>
      <xdr:rowOff>0</xdr:rowOff>
    </xdr:from>
    <xdr:ext cx="190500" cy="266700"/>
    <xdr:sp macro="" textlink="">
      <xdr:nvSpPr>
        <xdr:cNvPr id="13" name="Shape 5">
          <a:extLst>
            <a:ext uri="{FF2B5EF4-FFF2-40B4-BE49-F238E27FC236}">
              <a16:creationId xmlns:a16="http://schemas.microsoft.com/office/drawing/2014/main" id="{00000000-0008-0000-0900-00000D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200025</xdr:colOff>
      <xdr:row>77</xdr:row>
      <xdr:rowOff>0</xdr:rowOff>
    </xdr:from>
    <xdr:ext cx="190500" cy="266700"/>
    <xdr:sp macro="" textlink="">
      <xdr:nvSpPr>
        <xdr:cNvPr id="14" name="Shape 5">
          <a:extLst>
            <a:ext uri="{FF2B5EF4-FFF2-40B4-BE49-F238E27FC236}">
              <a16:creationId xmlns:a16="http://schemas.microsoft.com/office/drawing/2014/main" id="{00000000-0008-0000-0900-00000E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200025</xdr:colOff>
      <xdr:row>77</xdr:row>
      <xdr:rowOff>0</xdr:rowOff>
    </xdr:from>
    <xdr:ext cx="190500" cy="266700"/>
    <xdr:sp macro="" textlink="">
      <xdr:nvSpPr>
        <xdr:cNvPr id="15" name="Shape 5">
          <a:extLst>
            <a:ext uri="{FF2B5EF4-FFF2-40B4-BE49-F238E27FC236}">
              <a16:creationId xmlns:a16="http://schemas.microsoft.com/office/drawing/2014/main" id="{00000000-0008-0000-0900-00000F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190500</xdr:colOff>
      <xdr:row>77</xdr:row>
      <xdr:rowOff>0</xdr:rowOff>
    </xdr:from>
    <xdr:ext cx="190500" cy="266700"/>
    <xdr:sp macro="" textlink="">
      <xdr:nvSpPr>
        <xdr:cNvPr id="16" name="Shape 5">
          <a:extLst>
            <a:ext uri="{FF2B5EF4-FFF2-40B4-BE49-F238E27FC236}">
              <a16:creationId xmlns:a16="http://schemas.microsoft.com/office/drawing/2014/main" id="{00000000-0008-0000-0900-000010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190500</xdr:colOff>
      <xdr:row>77</xdr:row>
      <xdr:rowOff>0</xdr:rowOff>
    </xdr:from>
    <xdr:ext cx="190500" cy="266700"/>
    <xdr:sp macro="" textlink="">
      <xdr:nvSpPr>
        <xdr:cNvPr id="17" name="Shape 5">
          <a:extLst>
            <a:ext uri="{FF2B5EF4-FFF2-40B4-BE49-F238E27FC236}">
              <a16:creationId xmlns:a16="http://schemas.microsoft.com/office/drawing/2014/main" id="{00000000-0008-0000-0900-000011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200025</xdr:colOff>
      <xdr:row>77</xdr:row>
      <xdr:rowOff>0</xdr:rowOff>
    </xdr:from>
    <xdr:ext cx="190500" cy="266700"/>
    <xdr:sp macro="" textlink="">
      <xdr:nvSpPr>
        <xdr:cNvPr id="18" name="Shape 5">
          <a:extLst>
            <a:ext uri="{FF2B5EF4-FFF2-40B4-BE49-F238E27FC236}">
              <a16:creationId xmlns:a16="http://schemas.microsoft.com/office/drawing/2014/main" id="{00000000-0008-0000-0900-000012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200025</xdr:colOff>
      <xdr:row>77</xdr:row>
      <xdr:rowOff>0</xdr:rowOff>
    </xdr:from>
    <xdr:ext cx="190500" cy="266700"/>
    <xdr:sp macro="" textlink="">
      <xdr:nvSpPr>
        <xdr:cNvPr id="19" name="Shape 5">
          <a:extLst>
            <a:ext uri="{FF2B5EF4-FFF2-40B4-BE49-F238E27FC236}">
              <a16:creationId xmlns:a16="http://schemas.microsoft.com/office/drawing/2014/main" id="{00000000-0008-0000-0900-000013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0</xdr:col>
      <xdr:colOff>114300</xdr:colOff>
      <xdr:row>85</xdr:row>
      <xdr:rowOff>28575</xdr:rowOff>
    </xdr:from>
    <xdr:ext cx="476250" cy="247650"/>
    <xdr:pic>
      <xdr:nvPicPr>
        <xdr:cNvPr id="21" name="image8.png">
          <a:extLst>
            <a:ext uri="{FF2B5EF4-FFF2-40B4-BE49-F238E27FC236}">
              <a16:creationId xmlns:a16="http://schemas.microsoft.com/office/drawing/2014/main" id="{00000000-0008-0000-09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161925</xdr:colOff>
      <xdr:row>86</xdr:row>
      <xdr:rowOff>19050</xdr:rowOff>
    </xdr:from>
    <xdr:ext cx="428625" cy="257175"/>
    <xdr:pic>
      <xdr:nvPicPr>
        <xdr:cNvPr id="22" name="image9.png">
          <a:extLst>
            <a:ext uri="{FF2B5EF4-FFF2-40B4-BE49-F238E27FC236}">
              <a16:creationId xmlns:a16="http://schemas.microsoft.com/office/drawing/2014/main" id="{00000000-0008-0000-0900-00001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87</xdr:row>
      <xdr:rowOff>38100</xdr:rowOff>
    </xdr:from>
    <xdr:ext cx="400050" cy="238125"/>
    <xdr:pic>
      <xdr:nvPicPr>
        <xdr:cNvPr id="23" name="image10.png">
          <a:extLst>
            <a:ext uri="{FF2B5EF4-FFF2-40B4-BE49-F238E27FC236}">
              <a16:creationId xmlns:a16="http://schemas.microsoft.com/office/drawing/2014/main" id="{00000000-0008-0000-0900-00001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228600</xdr:colOff>
      <xdr:row>88</xdr:row>
      <xdr:rowOff>38100</xdr:rowOff>
    </xdr:from>
    <xdr:ext cx="266700" cy="276225"/>
    <xdr:pic>
      <xdr:nvPicPr>
        <xdr:cNvPr id="24" name="image7.png">
          <a:extLst>
            <a:ext uri="{FF2B5EF4-FFF2-40B4-BE49-F238E27FC236}">
              <a16:creationId xmlns:a16="http://schemas.microsoft.com/office/drawing/2014/main" id="{00000000-0008-0000-0900-000018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209550</xdr:colOff>
      <xdr:row>89</xdr:row>
      <xdr:rowOff>66675</xdr:rowOff>
    </xdr:from>
    <xdr:ext cx="285750" cy="247650"/>
    <xdr:pic>
      <xdr:nvPicPr>
        <xdr:cNvPr id="25" name="image6.png">
          <a:extLst>
            <a:ext uri="{FF2B5EF4-FFF2-40B4-BE49-F238E27FC236}">
              <a16:creationId xmlns:a16="http://schemas.microsoft.com/office/drawing/2014/main" id="{00000000-0008-0000-0900-00001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twoCellAnchor editAs="oneCell">
    <xdr:from>
      <xdr:col>0</xdr:col>
      <xdr:colOff>42333</xdr:colOff>
      <xdr:row>0</xdr:row>
      <xdr:rowOff>42334</xdr:rowOff>
    </xdr:from>
    <xdr:to>
      <xdr:col>5</xdr:col>
      <xdr:colOff>184773</xdr:colOff>
      <xdr:row>3</xdr:row>
      <xdr:rowOff>47876</xdr:rowOff>
    </xdr:to>
    <xdr:pic>
      <xdr:nvPicPr>
        <xdr:cNvPr id="26" name="Picture 25">
          <a:extLst>
            <a:ext uri="{FF2B5EF4-FFF2-40B4-BE49-F238E27FC236}">
              <a16:creationId xmlns:a16="http://schemas.microsoft.com/office/drawing/2014/main" id="{6E4290EA-15CF-48E2-A2FD-EFC2FC99425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2333" y="42334"/>
          <a:ext cx="2285565" cy="54846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190500</xdr:colOff>
      <xdr:row>115</xdr:row>
      <xdr:rowOff>0</xdr:rowOff>
    </xdr:from>
    <xdr:ext cx="190500" cy="266700"/>
    <xdr:sp macro="" textlink="">
      <xdr:nvSpPr>
        <xdr:cNvPr id="3" name="Shape 3">
          <a:extLst>
            <a:ext uri="{FF2B5EF4-FFF2-40B4-BE49-F238E27FC236}">
              <a16:creationId xmlns:a16="http://schemas.microsoft.com/office/drawing/2014/main" id="{00000000-0008-0000-0A00-000003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190500</xdr:colOff>
      <xdr:row>115</xdr:row>
      <xdr:rowOff>0</xdr:rowOff>
    </xdr:from>
    <xdr:ext cx="190500" cy="266700"/>
    <xdr:sp macro="" textlink="">
      <xdr:nvSpPr>
        <xdr:cNvPr id="2" name="Shape 3">
          <a:extLst>
            <a:ext uri="{FF2B5EF4-FFF2-40B4-BE49-F238E27FC236}">
              <a16:creationId xmlns:a16="http://schemas.microsoft.com/office/drawing/2014/main" id="{00000000-0008-0000-0A00-000002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190500</xdr:colOff>
      <xdr:row>103</xdr:row>
      <xdr:rowOff>0</xdr:rowOff>
    </xdr:from>
    <xdr:ext cx="190500" cy="266700"/>
    <xdr:sp macro="" textlink="">
      <xdr:nvSpPr>
        <xdr:cNvPr id="4" name="Shape 3">
          <a:extLst>
            <a:ext uri="{FF2B5EF4-FFF2-40B4-BE49-F238E27FC236}">
              <a16:creationId xmlns:a16="http://schemas.microsoft.com/office/drawing/2014/main" id="{00000000-0008-0000-0A00-000004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190500</xdr:colOff>
      <xdr:row>103</xdr:row>
      <xdr:rowOff>0</xdr:rowOff>
    </xdr:from>
    <xdr:ext cx="190500" cy="266700"/>
    <xdr:sp macro="" textlink="">
      <xdr:nvSpPr>
        <xdr:cNvPr id="5" name="Shape 3">
          <a:extLst>
            <a:ext uri="{FF2B5EF4-FFF2-40B4-BE49-F238E27FC236}">
              <a16:creationId xmlns:a16="http://schemas.microsoft.com/office/drawing/2014/main" id="{00000000-0008-0000-0A00-000005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51</xdr:row>
      <xdr:rowOff>0</xdr:rowOff>
    </xdr:from>
    <xdr:ext cx="190500" cy="266700"/>
    <xdr:sp macro="" textlink="">
      <xdr:nvSpPr>
        <xdr:cNvPr id="6" name="Shape 5">
          <a:extLst>
            <a:ext uri="{FF2B5EF4-FFF2-40B4-BE49-F238E27FC236}">
              <a16:creationId xmlns:a16="http://schemas.microsoft.com/office/drawing/2014/main" id="{00000000-0008-0000-0A00-000006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51</xdr:row>
      <xdr:rowOff>0</xdr:rowOff>
    </xdr:from>
    <xdr:ext cx="190500" cy="266700"/>
    <xdr:sp macro="" textlink="">
      <xdr:nvSpPr>
        <xdr:cNvPr id="7" name="Shape 5">
          <a:extLst>
            <a:ext uri="{FF2B5EF4-FFF2-40B4-BE49-F238E27FC236}">
              <a16:creationId xmlns:a16="http://schemas.microsoft.com/office/drawing/2014/main" id="{00000000-0008-0000-0A00-000007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51</xdr:row>
      <xdr:rowOff>0</xdr:rowOff>
    </xdr:from>
    <xdr:ext cx="190500" cy="266700"/>
    <xdr:sp macro="" textlink="">
      <xdr:nvSpPr>
        <xdr:cNvPr id="8" name="Shape 5">
          <a:extLst>
            <a:ext uri="{FF2B5EF4-FFF2-40B4-BE49-F238E27FC236}">
              <a16:creationId xmlns:a16="http://schemas.microsoft.com/office/drawing/2014/main" id="{00000000-0008-0000-0A00-000008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51</xdr:row>
      <xdr:rowOff>0</xdr:rowOff>
    </xdr:from>
    <xdr:ext cx="190500" cy="266700"/>
    <xdr:sp macro="" textlink="">
      <xdr:nvSpPr>
        <xdr:cNvPr id="9" name="Shape 5">
          <a:extLst>
            <a:ext uri="{FF2B5EF4-FFF2-40B4-BE49-F238E27FC236}">
              <a16:creationId xmlns:a16="http://schemas.microsoft.com/office/drawing/2014/main" id="{00000000-0008-0000-0A00-000009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200025</xdr:colOff>
      <xdr:row>103</xdr:row>
      <xdr:rowOff>0</xdr:rowOff>
    </xdr:from>
    <xdr:ext cx="190500" cy="266700"/>
    <xdr:sp macro="" textlink="">
      <xdr:nvSpPr>
        <xdr:cNvPr id="10" name="Shape 3">
          <a:extLst>
            <a:ext uri="{FF2B5EF4-FFF2-40B4-BE49-F238E27FC236}">
              <a16:creationId xmlns:a16="http://schemas.microsoft.com/office/drawing/2014/main" id="{00000000-0008-0000-0A00-00000A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200025</xdr:colOff>
      <xdr:row>103</xdr:row>
      <xdr:rowOff>0</xdr:rowOff>
    </xdr:from>
    <xdr:ext cx="190500" cy="266700"/>
    <xdr:sp macro="" textlink="">
      <xdr:nvSpPr>
        <xdr:cNvPr id="11" name="Shape 3">
          <a:extLst>
            <a:ext uri="{FF2B5EF4-FFF2-40B4-BE49-F238E27FC236}">
              <a16:creationId xmlns:a16="http://schemas.microsoft.com/office/drawing/2014/main" id="{00000000-0008-0000-0A00-00000B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190500</xdr:colOff>
      <xdr:row>103</xdr:row>
      <xdr:rowOff>0</xdr:rowOff>
    </xdr:from>
    <xdr:ext cx="190500" cy="266700"/>
    <xdr:sp macro="" textlink="">
      <xdr:nvSpPr>
        <xdr:cNvPr id="12" name="Shape 3">
          <a:extLst>
            <a:ext uri="{FF2B5EF4-FFF2-40B4-BE49-F238E27FC236}">
              <a16:creationId xmlns:a16="http://schemas.microsoft.com/office/drawing/2014/main" id="{00000000-0008-0000-0A00-00000C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190500</xdr:colOff>
      <xdr:row>103</xdr:row>
      <xdr:rowOff>0</xdr:rowOff>
    </xdr:from>
    <xdr:ext cx="190500" cy="266700"/>
    <xdr:sp macro="" textlink="">
      <xdr:nvSpPr>
        <xdr:cNvPr id="13" name="Shape 3">
          <a:extLst>
            <a:ext uri="{FF2B5EF4-FFF2-40B4-BE49-F238E27FC236}">
              <a16:creationId xmlns:a16="http://schemas.microsoft.com/office/drawing/2014/main" id="{00000000-0008-0000-0A00-00000D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51</xdr:row>
      <xdr:rowOff>0</xdr:rowOff>
    </xdr:from>
    <xdr:ext cx="190500" cy="266700"/>
    <xdr:sp macro="" textlink="">
      <xdr:nvSpPr>
        <xdr:cNvPr id="14" name="Shape 5">
          <a:extLst>
            <a:ext uri="{FF2B5EF4-FFF2-40B4-BE49-F238E27FC236}">
              <a16:creationId xmlns:a16="http://schemas.microsoft.com/office/drawing/2014/main" id="{00000000-0008-0000-0A00-00000E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51</xdr:row>
      <xdr:rowOff>0</xdr:rowOff>
    </xdr:from>
    <xdr:ext cx="190500" cy="266700"/>
    <xdr:sp macro="" textlink="">
      <xdr:nvSpPr>
        <xdr:cNvPr id="15" name="Shape 5">
          <a:extLst>
            <a:ext uri="{FF2B5EF4-FFF2-40B4-BE49-F238E27FC236}">
              <a16:creationId xmlns:a16="http://schemas.microsoft.com/office/drawing/2014/main" id="{00000000-0008-0000-0A00-00000F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51</xdr:row>
      <xdr:rowOff>0</xdr:rowOff>
    </xdr:from>
    <xdr:ext cx="190500" cy="266700"/>
    <xdr:sp macro="" textlink="">
      <xdr:nvSpPr>
        <xdr:cNvPr id="16" name="Shape 5">
          <a:extLst>
            <a:ext uri="{FF2B5EF4-FFF2-40B4-BE49-F238E27FC236}">
              <a16:creationId xmlns:a16="http://schemas.microsoft.com/office/drawing/2014/main" id="{00000000-0008-0000-0A00-000010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51</xdr:row>
      <xdr:rowOff>0</xdr:rowOff>
    </xdr:from>
    <xdr:ext cx="190500" cy="266700"/>
    <xdr:sp macro="" textlink="">
      <xdr:nvSpPr>
        <xdr:cNvPr id="17" name="Shape 5">
          <a:extLst>
            <a:ext uri="{FF2B5EF4-FFF2-40B4-BE49-F238E27FC236}">
              <a16:creationId xmlns:a16="http://schemas.microsoft.com/office/drawing/2014/main" id="{00000000-0008-0000-0A00-000011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51</xdr:row>
      <xdr:rowOff>0</xdr:rowOff>
    </xdr:from>
    <xdr:ext cx="190500" cy="266700"/>
    <xdr:sp macro="" textlink="">
      <xdr:nvSpPr>
        <xdr:cNvPr id="18" name="Shape 5">
          <a:extLst>
            <a:ext uri="{FF2B5EF4-FFF2-40B4-BE49-F238E27FC236}">
              <a16:creationId xmlns:a16="http://schemas.microsoft.com/office/drawing/2014/main" id="{00000000-0008-0000-0A00-000012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51</xdr:row>
      <xdr:rowOff>0</xdr:rowOff>
    </xdr:from>
    <xdr:ext cx="190500" cy="266700"/>
    <xdr:sp macro="" textlink="">
      <xdr:nvSpPr>
        <xdr:cNvPr id="19" name="Shape 5">
          <a:extLst>
            <a:ext uri="{FF2B5EF4-FFF2-40B4-BE49-F238E27FC236}">
              <a16:creationId xmlns:a16="http://schemas.microsoft.com/office/drawing/2014/main" id="{00000000-0008-0000-0A00-000013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51</xdr:row>
      <xdr:rowOff>0</xdr:rowOff>
    </xdr:from>
    <xdr:ext cx="190500" cy="266700"/>
    <xdr:sp macro="" textlink="">
      <xdr:nvSpPr>
        <xdr:cNvPr id="20" name="Shape 5">
          <a:extLst>
            <a:ext uri="{FF2B5EF4-FFF2-40B4-BE49-F238E27FC236}">
              <a16:creationId xmlns:a16="http://schemas.microsoft.com/office/drawing/2014/main" id="{00000000-0008-0000-0A00-000014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51</xdr:row>
      <xdr:rowOff>0</xdr:rowOff>
    </xdr:from>
    <xdr:ext cx="190500" cy="266700"/>
    <xdr:sp macro="" textlink="">
      <xdr:nvSpPr>
        <xdr:cNvPr id="21" name="Shape 5">
          <a:extLst>
            <a:ext uri="{FF2B5EF4-FFF2-40B4-BE49-F238E27FC236}">
              <a16:creationId xmlns:a16="http://schemas.microsoft.com/office/drawing/2014/main" id="{00000000-0008-0000-0A00-000015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51</xdr:row>
      <xdr:rowOff>0</xdr:rowOff>
    </xdr:from>
    <xdr:ext cx="190500" cy="266700"/>
    <xdr:sp macro="" textlink="">
      <xdr:nvSpPr>
        <xdr:cNvPr id="22" name="Shape 5">
          <a:extLst>
            <a:ext uri="{FF2B5EF4-FFF2-40B4-BE49-F238E27FC236}">
              <a16:creationId xmlns:a16="http://schemas.microsoft.com/office/drawing/2014/main" id="{00000000-0008-0000-0A00-000016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51</xdr:row>
      <xdr:rowOff>0</xdr:rowOff>
    </xdr:from>
    <xdr:ext cx="190500" cy="266700"/>
    <xdr:sp macro="" textlink="">
      <xdr:nvSpPr>
        <xdr:cNvPr id="23" name="Shape 5">
          <a:extLst>
            <a:ext uri="{FF2B5EF4-FFF2-40B4-BE49-F238E27FC236}">
              <a16:creationId xmlns:a16="http://schemas.microsoft.com/office/drawing/2014/main" id="{00000000-0008-0000-0A00-000017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51</xdr:row>
      <xdr:rowOff>0</xdr:rowOff>
    </xdr:from>
    <xdr:ext cx="190500" cy="266700"/>
    <xdr:sp macro="" textlink="">
      <xdr:nvSpPr>
        <xdr:cNvPr id="24" name="Shape 5">
          <a:extLst>
            <a:ext uri="{FF2B5EF4-FFF2-40B4-BE49-F238E27FC236}">
              <a16:creationId xmlns:a16="http://schemas.microsoft.com/office/drawing/2014/main" id="{00000000-0008-0000-0A00-000018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51</xdr:row>
      <xdr:rowOff>0</xdr:rowOff>
    </xdr:from>
    <xdr:ext cx="190500" cy="266700"/>
    <xdr:sp macro="" textlink="">
      <xdr:nvSpPr>
        <xdr:cNvPr id="25" name="Shape 5">
          <a:extLst>
            <a:ext uri="{FF2B5EF4-FFF2-40B4-BE49-F238E27FC236}">
              <a16:creationId xmlns:a16="http://schemas.microsoft.com/office/drawing/2014/main" id="{00000000-0008-0000-0A00-000019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51</xdr:row>
      <xdr:rowOff>0</xdr:rowOff>
    </xdr:from>
    <xdr:ext cx="190500" cy="266700"/>
    <xdr:sp macro="" textlink="">
      <xdr:nvSpPr>
        <xdr:cNvPr id="26" name="Shape 5">
          <a:extLst>
            <a:ext uri="{FF2B5EF4-FFF2-40B4-BE49-F238E27FC236}">
              <a16:creationId xmlns:a16="http://schemas.microsoft.com/office/drawing/2014/main" id="{00000000-0008-0000-0A00-00001A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51</xdr:row>
      <xdr:rowOff>0</xdr:rowOff>
    </xdr:from>
    <xdr:ext cx="190500" cy="266700"/>
    <xdr:sp macro="" textlink="">
      <xdr:nvSpPr>
        <xdr:cNvPr id="27" name="Shape 5">
          <a:extLst>
            <a:ext uri="{FF2B5EF4-FFF2-40B4-BE49-F238E27FC236}">
              <a16:creationId xmlns:a16="http://schemas.microsoft.com/office/drawing/2014/main" id="{00000000-0008-0000-0A00-00001B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51</xdr:row>
      <xdr:rowOff>0</xdr:rowOff>
    </xdr:from>
    <xdr:ext cx="190500" cy="266700"/>
    <xdr:sp macro="" textlink="">
      <xdr:nvSpPr>
        <xdr:cNvPr id="28" name="Shape 5">
          <a:extLst>
            <a:ext uri="{FF2B5EF4-FFF2-40B4-BE49-F238E27FC236}">
              <a16:creationId xmlns:a16="http://schemas.microsoft.com/office/drawing/2014/main" id="{00000000-0008-0000-0A00-00001C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51</xdr:row>
      <xdr:rowOff>0</xdr:rowOff>
    </xdr:from>
    <xdr:ext cx="190500" cy="266700"/>
    <xdr:sp macro="" textlink="">
      <xdr:nvSpPr>
        <xdr:cNvPr id="29" name="Shape 5">
          <a:extLst>
            <a:ext uri="{FF2B5EF4-FFF2-40B4-BE49-F238E27FC236}">
              <a16:creationId xmlns:a16="http://schemas.microsoft.com/office/drawing/2014/main" id="{00000000-0008-0000-0A00-00001D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51</xdr:row>
      <xdr:rowOff>0</xdr:rowOff>
    </xdr:from>
    <xdr:ext cx="190500" cy="266700"/>
    <xdr:sp macro="" textlink="">
      <xdr:nvSpPr>
        <xdr:cNvPr id="30" name="Shape 5">
          <a:extLst>
            <a:ext uri="{FF2B5EF4-FFF2-40B4-BE49-F238E27FC236}">
              <a16:creationId xmlns:a16="http://schemas.microsoft.com/office/drawing/2014/main" id="{00000000-0008-0000-0A00-00001E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51</xdr:row>
      <xdr:rowOff>0</xdr:rowOff>
    </xdr:from>
    <xdr:ext cx="190500" cy="266700"/>
    <xdr:sp macro="" textlink="">
      <xdr:nvSpPr>
        <xdr:cNvPr id="31" name="Shape 5">
          <a:extLst>
            <a:ext uri="{FF2B5EF4-FFF2-40B4-BE49-F238E27FC236}">
              <a16:creationId xmlns:a16="http://schemas.microsoft.com/office/drawing/2014/main" id="{00000000-0008-0000-0A00-00001F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51</xdr:row>
      <xdr:rowOff>0</xdr:rowOff>
    </xdr:from>
    <xdr:ext cx="190500" cy="266700"/>
    <xdr:sp macro="" textlink="">
      <xdr:nvSpPr>
        <xdr:cNvPr id="32" name="Shape 5">
          <a:extLst>
            <a:ext uri="{FF2B5EF4-FFF2-40B4-BE49-F238E27FC236}">
              <a16:creationId xmlns:a16="http://schemas.microsoft.com/office/drawing/2014/main" id="{00000000-0008-0000-0A00-000020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51</xdr:row>
      <xdr:rowOff>0</xdr:rowOff>
    </xdr:from>
    <xdr:ext cx="190500" cy="266700"/>
    <xdr:sp macro="" textlink="">
      <xdr:nvSpPr>
        <xdr:cNvPr id="33" name="Shape 5">
          <a:extLst>
            <a:ext uri="{FF2B5EF4-FFF2-40B4-BE49-F238E27FC236}">
              <a16:creationId xmlns:a16="http://schemas.microsoft.com/office/drawing/2014/main" id="{00000000-0008-0000-0A00-000021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51</xdr:row>
      <xdr:rowOff>0</xdr:rowOff>
    </xdr:from>
    <xdr:ext cx="190500" cy="266700"/>
    <xdr:sp macro="" textlink="">
      <xdr:nvSpPr>
        <xdr:cNvPr id="34" name="Shape 5">
          <a:extLst>
            <a:ext uri="{FF2B5EF4-FFF2-40B4-BE49-F238E27FC236}">
              <a16:creationId xmlns:a16="http://schemas.microsoft.com/office/drawing/2014/main" id="{00000000-0008-0000-0A00-000022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51</xdr:row>
      <xdr:rowOff>0</xdr:rowOff>
    </xdr:from>
    <xdr:ext cx="190500" cy="266700"/>
    <xdr:sp macro="" textlink="">
      <xdr:nvSpPr>
        <xdr:cNvPr id="35" name="Shape 5">
          <a:extLst>
            <a:ext uri="{FF2B5EF4-FFF2-40B4-BE49-F238E27FC236}">
              <a16:creationId xmlns:a16="http://schemas.microsoft.com/office/drawing/2014/main" id="{00000000-0008-0000-0A00-000023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51</xdr:row>
      <xdr:rowOff>0</xdr:rowOff>
    </xdr:from>
    <xdr:ext cx="190500" cy="266700"/>
    <xdr:sp macro="" textlink="">
      <xdr:nvSpPr>
        <xdr:cNvPr id="36" name="Shape 5">
          <a:extLst>
            <a:ext uri="{FF2B5EF4-FFF2-40B4-BE49-F238E27FC236}">
              <a16:creationId xmlns:a16="http://schemas.microsoft.com/office/drawing/2014/main" id="{00000000-0008-0000-0A00-000024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200025</xdr:colOff>
      <xdr:row>103</xdr:row>
      <xdr:rowOff>0</xdr:rowOff>
    </xdr:from>
    <xdr:ext cx="190500" cy="266700"/>
    <xdr:sp macro="" textlink="">
      <xdr:nvSpPr>
        <xdr:cNvPr id="37" name="Shape 3">
          <a:extLst>
            <a:ext uri="{FF2B5EF4-FFF2-40B4-BE49-F238E27FC236}">
              <a16:creationId xmlns:a16="http://schemas.microsoft.com/office/drawing/2014/main" id="{00000000-0008-0000-0A00-000025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200025</xdr:colOff>
      <xdr:row>103</xdr:row>
      <xdr:rowOff>0</xdr:rowOff>
    </xdr:from>
    <xdr:ext cx="190500" cy="266700"/>
    <xdr:sp macro="" textlink="">
      <xdr:nvSpPr>
        <xdr:cNvPr id="38" name="Shape 3">
          <a:extLst>
            <a:ext uri="{FF2B5EF4-FFF2-40B4-BE49-F238E27FC236}">
              <a16:creationId xmlns:a16="http://schemas.microsoft.com/office/drawing/2014/main" id="{00000000-0008-0000-0A00-000026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200025</xdr:colOff>
      <xdr:row>88</xdr:row>
      <xdr:rowOff>0</xdr:rowOff>
    </xdr:from>
    <xdr:ext cx="190500" cy="266700"/>
    <xdr:sp macro="" textlink="">
      <xdr:nvSpPr>
        <xdr:cNvPr id="39" name="Shape 5">
          <a:extLst>
            <a:ext uri="{FF2B5EF4-FFF2-40B4-BE49-F238E27FC236}">
              <a16:creationId xmlns:a16="http://schemas.microsoft.com/office/drawing/2014/main" id="{00000000-0008-0000-0A00-000027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200025</xdr:colOff>
      <xdr:row>88</xdr:row>
      <xdr:rowOff>0</xdr:rowOff>
    </xdr:from>
    <xdr:ext cx="190500" cy="266700"/>
    <xdr:sp macro="" textlink="">
      <xdr:nvSpPr>
        <xdr:cNvPr id="40" name="Shape 5">
          <a:extLst>
            <a:ext uri="{FF2B5EF4-FFF2-40B4-BE49-F238E27FC236}">
              <a16:creationId xmlns:a16="http://schemas.microsoft.com/office/drawing/2014/main" id="{00000000-0008-0000-0A00-000028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190500</xdr:colOff>
      <xdr:row>88</xdr:row>
      <xdr:rowOff>0</xdr:rowOff>
    </xdr:from>
    <xdr:ext cx="190500" cy="266700"/>
    <xdr:sp macro="" textlink="">
      <xdr:nvSpPr>
        <xdr:cNvPr id="41" name="Shape 5">
          <a:extLst>
            <a:ext uri="{FF2B5EF4-FFF2-40B4-BE49-F238E27FC236}">
              <a16:creationId xmlns:a16="http://schemas.microsoft.com/office/drawing/2014/main" id="{00000000-0008-0000-0A00-000029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190500</xdr:colOff>
      <xdr:row>88</xdr:row>
      <xdr:rowOff>0</xdr:rowOff>
    </xdr:from>
    <xdr:ext cx="190500" cy="266700"/>
    <xdr:sp macro="" textlink="">
      <xdr:nvSpPr>
        <xdr:cNvPr id="42" name="Shape 5">
          <a:extLst>
            <a:ext uri="{FF2B5EF4-FFF2-40B4-BE49-F238E27FC236}">
              <a16:creationId xmlns:a16="http://schemas.microsoft.com/office/drawing/2014/main" id="{00000000-0008-0000-0A00-00002A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200025</xdr:colOff>
      <xdr:row>88</xdr:row>
      <xdr:rowOff>0</xdr:rowOff>
    </xdr:from>
    <xdr:ext cx="190500" cy="266700"/>
    <xdr:sp macro="" textlink="">
      <xdr:nvSpPr>
        <xdr:cNvPr id="43" name="Shape 5">
          <a:extLst>
            <a:ext uri="{FF2B5EF4-FFF2-40B4-BE49-F238E27FC236}">
              <a16:creationId xmlns:a16="http://schemas.microsoft.com/office/drawing/2014/main" id="{00000000-0008-0000-0A00-00002B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200025</xdr:colOff>
      <xdr:row>88</xdr:row>
      <xdr:rowOff>0</xdr:rowOff>
    </xdr:from>
    <xdr:ext cx="190500" cy="266700"/>
    <xdr:sp macro="" textlink="">
      <xdr:nvSpPr>
        <xdr:cNvPr id="44" name="Shape 5">
          <a:extLst>
            <a:ext uri="{FF2B5EF4-FFF2-40B4-BE49-F238E27FC236}">
              <a16:creationId xmlns:a16="http://schemas.microsoft.com/office/drawing/2014/main" id="{00000000-0008-0000-0A00-00002C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200025</xdr:colOff>
      <xdr:row>88</xdr:row>
      <xdr:rowOff>0</xdr:rowOff>
    </xdr:from>
    <xdr:ext cx="190500" cy="266700"/>
    <xdr:sp macro="" textlink="">
      <xdr:nvSpPr>
        <xdr:cNvPr id="45" name="Shape 5">
          <a:extLst>
            <a:ext uri="{FF2B5EF4-FFF2-40B4-BE49-F238E27FC236}">
              <a16:creationId xmlns:a16="http://schemas.microsoft.com/office/drawing/2014/main" id="{00000000-0008-0000-0A00-00002D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200025</xdr:colOff>
      <xdr:row>88</xdr:row>
      <xdr:rowOff>0</xdr:rowOff>
    </xdr:from>
    <xdr:ext cx="190500" cy="266700"/>
    <xdr:sp macro="" textlink="">
      <xdr:nvSpPr>
        <xdr:cNvPr id="46" name="Shape 5">
          <a:extLst>
            <a:ext uri="{FF2B5EF4-FFF2-40B4-BE49-F238E27FC236}">
              <a16:creationId xmlns:a16="http://schemas.microsoft.com/office/drawing/2014/main" id="{00000000-0008-0000-0A00-00002E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190500</xdr:colOff>
      <xdr:row>88</xdr:row>
      <xdr:rowOff>0</xdr:rowOff>
    </xdr:from>
    <xdr:ext cx="190500" cy="266700"/>
    <xdr:sp macro="" textlink="">
      <xdr:nvSpPr>
        <xdr:cNvPr id="47" name="Shape 5">
          <a:extLst>
            <a:ext uri="{FF2B5EF4-FFF2-40B4-BE49-F238E27FC236}">
              <a16:creationId xmlns:a16="http://schemas.microsoft.com/office/drawing/2014/main" id="{00000000-0008-0000-0A00-00002F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190500</xdr:colOff>
      <xdr:row>88</xdr:row>
      <xdr:rowOff>0</xdr:rowOff>
    </xdr:from>
    <xdr:ext cx="190500" cy="266700"/>
    <xdr:sp macro="" textlink="">
      <xdr:nvSpPr>
        <xdr:cNvPr id="48" name="Shape 5">
          <a:extLst>
            <a:ext uri="{FF2B5EF4-FFF2-40B4-BE49-F238E27FC236}">
              <a16:creationId xmlns:a16="http://schemas.microsoft.com/office/drawing/2014/main" id="{00000000-0008-0000-0A00-000030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200025</xdr:colOff>
      <xdr:row>88</xdr:row>
      <xdr:rowOff>0</xdr:rowOff>
    </xdr:from>
    <xdr:ext cx="190500" cy="266700"/>
    <xdr:sp macro="" textlink="">
      <xdr:nvSpPr>
        <xdr:cNvPr id="49" name="Shape 5">
          <a:extLst>
            <a:ext uri="{FF2B5EF4-FFF2-40B4-BE49-F238E27FC236}">
              <a16:creationId xmlns:a16="http://schemas.microsoft.com/office/drawing/2014/main" id="{00000000-0008-0000-0A00-000031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200025</xdr:colOff>
      <xdr:row>88</xdr:row>
      <xdr:rowOff>0</xdr:rowOff>
    </xdr:from>
    <xdr:ext cx="190500" cy="266700"/>
    <xdr:sp macro="" textlink="">
      <xdr:nvSpPr>
        <xdr:cNvPr id="50" name="Shape 5">
          <a:extLst>
            <a:ext uri="{FF2B5EF4-FFF2-40B4-BE49-F238E27FC236}">
              <a16:creationId xmlns:a16="http://schemas.microsoft.com/office/drawing/2014/main" id="{00000000-0008-0000-0A00-000032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51</xdr:row>
      <xdr:rowOff>0</xdr:rowOff>
    </xdr:from>
    <xdr:ext cx="190500" cy="266700"/>
    <xdr:sp macro="" textlink="">
      <xdr:nvSpPr>
        <xdr:cNvPr id="51" name="Shape 5">
          <a:extLst>
            <a:ext uri="{FF2B5EF4-FFF2-40B4-BE49-F238E27FC236}">
              <a16:creationId xmlns:a16="http://schemas.microsoft.com/office/drawing/2014/main" id="{00000000-0008-0000-0A00-000033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51</xdr:row>
      <xdr:rowOff>0</xdr:rowOff>
    </xdr:from>
    <xdr:ext cx="190500" cy="266700"/>
    <xdr:sp macro="" textlink="">
      <xdr:nvSpPr>
        <xdr:cNvPr id="52" name="Shape 5">
          <a:extLst>
            <a:ext uri="{FF2B5EF4-FFF2-40B4-BE49-F238E27FC236}">
              <a16:creationId xmlns:a16="http://schemas.microsoft.com/office/drawing/2014/main" id="{00000000-0008-0000-0A00-000034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51</xdr:row>
      <xdr:rowOff>0</xdr:rowOff>
    </xdr:from>
    <xdr:ext cx="190500" cy="266700"/>
    <xdr:sp macro="" textlink="">
      <xdr:nvSpPr>
        <xdr:cNvPr id="53" name="Shape 5">
          <a:extLst>
            <a:ext uri="{FF2B5EF4-FFF2-40B4-BE49-F238E27FC236}">
              <a16:creationId xmlns:a16="http://schemas.microsoft.com/office/drawing/2014/main" id="{00000000-0008-0000-0A00-000035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51</xdr:row>
      <xdr:rowOff>0</xdr:rowOff>
    </xdr:from>
    <xdr:ext cx="190500" cy="266700"/>
    <xdr:sp macro="" textlink="">
      <xdr:nvSpPr>
        <xdr:cNvPr id="54" name="Shape 5">
          <a:extLst>
            <a:ext uri="{FF2B5EF4-FFF2-40B4-BE49-F238E27FC236}">
              <a16:creationId xmlns:a16="http://schemas.microsoft.com/office/drawing/2014/main" id="{00000000-0008-0000-0A00-000036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51</xdr:row>
      <xdr:rowOff>0</xdr:rowOff>
    </xdr:from>
    <xdr:ext cx="190500" cy="266700"/>
    <xdr:sp macro="" textlink="">
      <xdr:nvSpPr>
        <xdr:cNvPr id="55" name="Shape 5">
          <a:extLst>
            <a:ext uri="{FF2B5EF4-FFF2-40B4-BE49-F238E27FC236}">
              <a16:creationId xmlns:a16="http://schemas.microsoft.com/office/drawing/2014/main" id="{00000000-0008-0000-0A00-000037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0</xdr:col>
      <xdr:colOff>133350</xdr:colOff>
      <xdr:row>96</xdr:row>
      <xdr:rowOff>47625</xdr:rowOff>
    </xdr:from>
    <xdr:ext cx="485775" cy="257175"/>
    <xdr:pic>
      <xdr:nvPicPr>
        <xdr:cNvPr id="57" name="image8.png">
          <a:extLst>
            <a:ext uri="{FF2B5EF4-FFF2-40B4-BE49-F238E27FC236}">
              <a16:creationId xmlns:a16="http://schemas.microsoft.com/office/drawing/2014/main" id="{00000000-0008-0000-0A00-00003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180975</xdr:colOff>
      <xdr:row>97</xdr:row>
      <xdr:rowOff>38100</xdr:rowOff>
    </xdr:from>
    <xdr:ext cx="419100" cy="257175"/>
    <xdr:pic>
      <xdr:nvPicPr>
        <xdr:cNvPr id="58" name="image9.png">
          <a:extLst>
            <a:ext uri="{FF2B5EF4-FFF2-40B4-BE49-F238E27FC236}">
              <a16:creationId xmlns:a16="http://schemas.microsoft.com/office/drawing/2014/main" id="{00000000-0008-0000-0A00-00003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171450</xdr:colOff>
      <xdr:row>98</xdr:row>
      <xdr:rowOff>66675</xdr:rowOff>
    </xdr:from>
    <xdr:ext cx="400050" cy="247650"/>
    <xdr:pic>
      <xdr:nvPicPr>
        <xdr:cNvPr id="59" name="image10.png">
          <a:extLst>
            <a:ext uri="{FF2B5EF4-FFF2-40B4-BE49-F238E27FC236}">
              <a16:creationId xmlns:a16="http://schemas.microsoft.com/office/drawing/2014/main" id="{00000000-0008-0000-0A00-00003B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238125</xdr:colOff>
      <xdr:row>99</xdr:row>
      <xdr:rowOff>38100</xdr:rowOff>
    </xdr:from>
    <xdr:ext cx="247650" cy="276225"/>
    <xdr:pic>
      <xdr:nvPicPr>
        <xdr:cNvPr id="60" name="image7.png">
          <a:extLst>
            <a:ext uri="{FF2B5EF4-FFF2-40B4-BE49-F238E27FC236}">
              <a16:creationId xmlns:a16="http://schemas.microsoft.com/office/drawing/2014/main" id="{00000000-0008-0000-0A00-00003C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219075</xdr:colOff>
      <xdr:row>100</xdr:row>
      <xdr:rowOff>57150</xdr:rowOff>
    </xdr:from>
    <xdr:ext cx="276225" cy="257175"/>
    <xdr:pic>
      <xdr:nvPicPr>
        <xdr:cNvPr id="61" name="image6.png">
          <a:extLst>
            <a:ext uri="{FF2B5EF4-FFF2-40B4-BE49-F238E27FC236}">
              <a16:creationId xmlns:a16="http://schemas.microsoft.com/office/drawing/2014/main" id="{00000000-0008-0000-0A00-00003D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twoCellAnchor editAs="oneCell">
    <xdr:from>
      <xdr:col>0</xdr:col>
      <xdr:colOff>42333</xdr:colOff>
      <xdr:row>0</xdr:row>
      <xdr:rowOff>42334</xdr:rowOff>
    </xdr:from>
    <xdr:to>
      <xdr:col>5</xdr:col>
      <xdr:colOff>165723</xdr:colOff>
      <xdr:row>3</xdr:row>
      <xdr:rowOff>95501</xdr:rowOff>
    </xdr:to>
    <xdr:pic>
      <xdr:nvPicPr>
        <xdr:cNvPr id="62" name="Picture 61">
          <a:extLst>
            <a:ext uri="{FF2B5EF4-FFF2-40B4-BE49-F238E27FC236}">
              <a16:creationId xmlns:a16="http://schemas.microsoft.com/office/drawing/2014/main" id="{13AF9722-DACE-4641-9D3E-0DBB3C93B76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2333" y="42334"/>
          <a:ext cx="2285565" cy="5484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190500</xdr:colOff>
      <xdr:row>134</xdr:row>
      <xdr:rowOff>0</xdr:rowOff>
    </xdr:from>
    <xdr:ext cx="190500" cy="266700"/>
    <xdr:sp macro="" textlink="">
      <xdr:nvSpPr>
        <xdr:cNvPr id="3" name="Shape 3">
          <a:extLst>
            <a:ext uri="{FF2B5EF4-FFF2-40B4-BE49-F238E27FC236}">
              <a16:creationId xmlns:a16="http://schemas.microsoft.com/office/drawing/2014/main" id="{00000000-0008-0000-0100-000003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190500</xdr:colOff>
      <xdr:row>134</xdr:row>
      <xdr:rowOff>0</xdr:rowOff>
    </xdr:from>
    <xdr:ext cx="190500" cy="266700"/>
    <xdr:sp macro="" textlink="">
      <xdr:nvSpPr>
        <xdr:cNvPr id="2" name="Shape 3">
          <a:extLst>
            <a:ext uri="{FF2B5EF4-FFF2-40B4-BE49-F238E27FC236}">
              <a16:creationId xmlns:a16="http://schemas.microsoft.com/office/drawing/2014/main" id="{00000000-0008-0000-0100-000002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11</xdr:col>
      <xdr:colOff>257175</xdr:colOff>
      <xdr:row>1</xdr:row>
      <xdr:rowOff>123825</xdr:rowOff>
    </xdr:from>
    <xdr:ext cx="485775" cy="209550"/>
    <xdr:sp macro="" textlink="">
      <xdr:nvSpPr>
        <xdr:cNvPr id="4" name="Shape 4">
          <a:extLst>
            <a:ext uri="{FF2B5EF4-FFF2-40B4-BE49-F238E27FC236}">
              <a16:creationId xmlns:a16="http://schemas.microsoft.com/office/drawing/2014/main" id="{00000000-0008-0000-0100-000004000000}"/>
            </a:ext>
          </a:extLst>
        </xdr:cNvPr>
        <xdr:cNvSpPr/>
      </xdr:nvSpPr>
      <xdr:spPr>
        <a:xfrm>
          <a:off x="5107875" y="3679988"/>
          <a:ext cx="476250" cy="200025"/>
        </a:xfrm>
        <a:prstGeom prst="ellipse">
          <a:avLst/>
        </a:prstGeom>
        <a:noFill/>
        <a:ln w="9525" cap="flat" cmpd="sng">
          <a:solidFill>
            <a:schemeClr val="dk1"/>
          </a:solidFill>
          <a:prstDash val="solid"/>
          <a:round/>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endParaRPr sz="1100"/>
        </a:p>
      </xdr:txBody>
    </xdr:sp>
    <xdr:clientData fLocksWithSheet="0"/>
  </xdr:oneCellAnchor>
  <xdr:oneCellAnchor>
    <xdr:from>
      <xdr:col>1</xdr:col>
      <xdr:colOff>190500</xdr:colOff>
      <xdr:row>124</xdr:row>
      <xdr:rowOff>0</xdr:rowOff>
    </xdr:from>
    <xdr:ext cx="190500" cy="266700"/>
    <xdr:sp macro="" textlink="">
      <xdr:nvSpPr>
        <xdr:cNvPr id="5" name="Shape 3">
          <a:extLst>
            <a:ext uri="{FF2B5EF4-FFF2-40B4-BE49-F238E27FC236}">
              <a16:creationId xmlns:a16="http://schemas.microsoft.com/office/drawing/2014/main" id="{00000000-0008-0000-0100-000005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190500</xdr:colOff>
      <xdr:row>124</xdr:row>
      <xdr:rowOff>0</xdr:rowOff>
    </xdr:from>
    <xdr:ext cx="190500" cy="266700"/>
    <xdr:sp macro="" textlink="">
      <xdr:nvSpPr>
        <xdr:cNvPr id="6" name="Shape 3">
          <a:extLst>
            <a:ext uri="{FF2B5EF4-FFF2-40B4-BE49-F238E27FC236}">
              <a16:creationId xmlns:a16="http://schemas.microsoft.com/office/drawing/2014/main" id="{00000000-0008-0000-0100-000006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62</xdr:row>
      <xdr:rowOff>0</xdr:rowOff>
    </xdr:from>
    <xdr:ext cx="190500" cy="266700"/>
    <xdr:sp macro="" textlink="">
      <xdr:nvSpPr>
        <xdr:cNvPr id="7" name="Shape 5">
          <a:extLst>
            <a:ext uri="{FF2B5EF4-FFF2-40B4-BE49-F238E27FC236}">
              <a16:creationId xmlns:a16="http://schemas.microsoft.com/office/drawing/2014/main" id="{00000000-0008-0000-0100-000007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62</xdr:row>
      <xdr:rowOff>0</xdr:rowOff>
    </xdr:from>
    <xdr:ext cx="190500" cy="266700"/>
    <xdr:sp macro="" textlink="">
      <xdr:nvSpPr>
        <xdr:cNvPr id="8" name="Shape 5">
          <a:extLst>
            <a:ext uri="{FF2B5EF4-FFF2-40B4-BE49-F238E27FC236}">
              <a16:creationId xmlns:a16="http://schemas.microsoft.com/office/drawing/2014/main" id="{00000000-0008-0000-0100-000008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61</xdr:row>
      <xdr:rowOff>0</xdr:rowOff>
    </xdr:from>
    <xdr:ext cx="190500" cy="266700"/>
    <xdr:sp macro="" textlink="">
      <xdr:nvSpPr>
        <xdr:cNvPr id="9" name="Shape 5">
          <a:extLst>
            <a:ext uri="{FF2B5EF4-FFF2-40B4-BE49-F238E27FC236}">
              <a16:creationId xmlns:a16="http://schemas.microsoft.com/office/drawing/2014/main" id="{00000000-0008-0000-0100-000009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61</xdr:row>
      <xdr:rowOff>0</xdr:rowOff>
    </xdr:from>
    <xdr:ext cx="190500" cy="266700"/>
    <xdr:sp macro="" textlink="">
      <xdr:nvSpPr>
        <xdr:cNvPr id="10" name="Shape 5">
          <a:extLst>
            <a:ext uri="{FF2B5EF4-FFF2-40B4-BE49-F238E27FC236}">
              <a16:creationId xmlns:a16="http://schemas.microsoft.com/office/drawing/2014/main" id="{00000000-0008-0000-0100-00000A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200025</xdr:colOff>
      <xdr:row>124</xdr:row>
      <xdr:rowOff>0</xdr:rowOff>
    </xdr:from>
    <xdr:ext cx="190500" cy="266700"/>
    <xdr:sp macro="" textlink="">
      <xdr:nvSpPr>
        <xdr:cNvPr id="11" name="Shape 3">
          <a:extLst>
            <a:ext uri="{FF2B5EF4-FFF2-40B4-BE49-F238E27FC236}">
              <a16:creationId xmlns:a16="http://schemas.microsoft.com/office/drawing/2014/main" id="{00000000-0008-0000-0100-00000B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200025</xdr:colOff>
      <xdr:row>124</xdr:row>
      <xdr:rowOff>0</xdr:rowOff>
    </xdr:from>
    <xdr:ext cx="190500" cy="266700"/>
    <xdr:sp macro="" textlink="">
      <xdr:nvSpPr>
        <xdr:cNvPr id="12" name="Shape 3">
          <a:extLst>
            <a:ext uri="{FF2B5EF4-FFF2-40B4-BE49-F238E27FC236}">
              <a16:creationId xmlns:a16="http://schemas.microsoft.com/office/drawing/2014/main" id="{00000000-0008-0000-0100-00000C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190500</xdr:colOff>
      <xdr:row>124</xdr:row>
      <xdr:rowOff>0</xdr:rowOff>
    </xdr:from>
    <xdr:ext cx="190500" cy="266700"/>
    <xdr:sp macro="" textlink="">
      <xdr:nvSpPr>
        <xdr:cNvPr id="13" name="Shape 3">
          <a:extLst>
            <a:ext uri="{FF2B5EF4-FFF2-40B4-BE49-F238E27FC236}">
              <a16:creationId xmlns:a16="http://schemas.microsoft.com/office/drawing/2014/main" id="{00000000-0008-0000-0100-00000D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190500</xdr:colOff>
      <xdr:row>124</xdr:row>
      <xdr:rowOff>0</xdr:rowOff>
    </xdr:from>
    <xdr:ext cx="190500" cy="266700"/>
    <xdr:sp macro="" textlink="">
      <xdr:nvSpPr>
        <xdr:cNvPr id="14" name="Shape 3">
          <a:extLst>
            <a:ext uri="{FF2B5EF4-FFF2-40B4-BE49-F238E27FC236}">
              <a16:creationId xmlns:a16="http://schemas.microsoft.com/office/drawing/2014/main" id="{00000000-0008-0000-0100-00000E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62</xdr:row>
      <xdr:rowOff>0</xdr:rowOff>
    </xdr:from>
    <xdr:ext cx="190500" cy="266700"/>
    <xdr:sp macro="" textlink="">
      <xdr:nvSpPr>
        <xdr:cNvPr id="15" name="Shape 5">
          <a:extLst>
            <a:ext uri="{FF2B5EF4-FFF2-40B4-BE49-F238E27FC236}">
              <a16:creationId xmlns:a16="http://schemas.microsoft.com/office/drawing/2014/main" id="{00000000-0008-0000-0100-00000F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62</xdr:row>
      <xdr:rowOff>0</xdr:rowOff>
    </xdr:from>
    <xdr:ext cx="190500" cy="266700"/>
    <xdr:sp macro="" textlink="">
      <xdr:nvSpPr>
        <xdr:cNvPr id="16" name="Shape 5">
          <a:extLst>
            <a:ext uri="{FF2B5EF4-FFF2-40B4-BE49-F238E27FC236}">
              <a16:creationId xmlns:a16="http://schemas.microsoft.com/office/drawing/2014/main" id="{00000000-0008-0000-0100-000010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61</xdr:row>
      <xdr:rowOff>0</xdr:rowOff>
    </xdr:from>
    <xdr:ext cx="190500" cy="266700"/>
    <xdr:sp macro="" textlink="">
      <xdr:nvSpPr>
        <xdr:cNvPr id="17" name="Shape 5">
          <a:extLst>
            <a:ext uri="{FF2B5EF4-FFF2-40B4-BE49-F238E27FC236}">
              <a16:creationId xmlns:a16="http://schemas.microsoft.com/office/drawing/2014/main" id="{00000000-0008-0000-0100-000011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63</xdr:row>
      <xdr:rowOff>0</xdr:rowOff>
    </xdr:from>
    <xdr:ext cx="190500" cy="266700"/>
    <xdr:sp macro="" textlink="">
      <xdr:nvSpPr>
        <xdr:cNvPr id="18" name="Shape 5">
          <a:extLst>
            <a:ext uri="{FF2B5EF4-FFF2-40B4-BE49-F238E27FC236}">
              <a16:creationId xmlns:a16="http://schemas.microsoft.com/office/drawing/2014/main" id="{00000000-0008-0000-0100-000012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63</xdr:row>
      <xdr:rowOff>0</xdr:rowOff>
    </xdr:from>
    <xdr:ext cx="190500" cy="266700"/>
    <xdr:sp macro="" textlink="">
      <xdr:nvSpPr>
        <xdr:cNvPr id="19" name="Shape 5">
          <a:extLst>
            <a:ext uri="{FF2B5EF4-FFF2-40B4-BE49-F238E27FC236}">
              <a16:creationId xmlns:a16="http://schemas.microsoft.com/office/drawing/2014/main" id="{00000000-0008-0000-0100-000013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64</xdr:row>
      <xdr:rowOff>0</xdr:rowOff>
    </xdr:from>
    <xdr:ext cx="190500" cy="266700"/>
    <xdr:sp macro="" textlink="">
      <xdr:nvSpPr>
        <xdr:cNvPr id="20" name="Shape 5">
          <a:extLst>
            <a:ext uri="{FF2B5EF4-FFF2-40B4-BE49-F238E27FC236}">
              <a16:creationId xmlns:a16="http://schemas.microsoft.com/office/drawing/2014/main" id="{00000000-0008-0000-0100-000014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64</xdr:row>
      <xdr:rowOff>0</xdr:rowOff>
    </xdr:from>
    <xdr:ext cx="190500" cy="266700"/>
    <xdr:sp macro="" textlink="">
      <xdr:nvSpPr>
        <xdr:cNvPr id="21" name="Shape 5">
          <a:extLst>
            <a:ext uri="{FF2B5EF4-FFF2-40B4-BE49-F238E27FC236}">
              <a16:creationId xmlns:a16="http://schemas.microsoft.com/office/drawing/2014/main" id="{00000000-0008-0000-0100-000015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65</xdr:row>
      <xdr:rowOff>0</xdr:rowOff>
    </xdr:from>
    <xdr:ext cx="190500" cy="266700"/>
    <xdr:sp macro="" textlink="">
      <xdr:nvSpPr>
        <xdr:cNvPr id="22" name="Shape 5">
          <a:extLst>
            <a:ext uri="{FF2B5EF4-FFF2-40B4-BE49-F238E27FC236}">
              <a16:creationId xmlns:a16="http://schemas.microsoft.com/office/drawing/2014/main" id="{00000000-0008-0000-0100-000016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65</xdr:row>
      <xdr:rowOff>0</xdr:rowOff>
    </xdr:from>
    <xdr:ext cx="190500" cy="266700"/>
    <xdr:sp macro="" textlink="">
      <xdr:nvSpPr>
        <xdr:cNvPr id="23" name="Shape 5">
          <a:extLst>
            <a:ext uri="{FF2B5EF4-FFF2-40B4-BE49-F238E27FC236}">
              <a16:creationId xmlns:a16="http://schemas.microsoft.com/office/drawing/2014/main" id="{00000000-0008-0000-0100-000017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65</xdr:row>
      <xdr:rowOff>0</xdr:rowOff>
    </xdr:from>
    <xdr:ext cx="190500" cy="266700"/>
    <xdr:sp macro="" textlink="">
      <xdr:nvSpPr>
        <xdr:cNvPr id="24" name="Shape 5">
          <a:extLst>
            <a:ext uri="{FF2B5EF4-FFF2-40B4-BE49-F238E27FC236}">
              <a16:creationId xmlns:a16="http://schemas.microsoft.com/office/drawing/2014/main" id="{00000000-0008-0000-0100-000018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65</xdr:row>
      <xdr:rowOff>0</xdr:rowOff>
    </xdr:from>
    <xdr:ext cx="190500" cy="266700"/>
    <xdr:sp macro="" textlink="">
      <xdr:nvSpPr>
        <xdr:cNvPr id="25" name="Shape 5">
          <a:extLst>
            <a:ext uri="{FF2B5EF4-FFF2-40B4-BE49-F238E27FC236}">
              <a16:creationId xmlns:a16="http://schemas.microsoft.com/office/drawing/2014/main" id="{00000000-0008-0000-0100-000019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66</xdr:row>
      <xdr:rowOff>0</xdr:rowOff>
    </xdr:from>
    <xdr:ext cx="190500" cy="266700"/>
    <xdr:sp macro="" textlink="">
      <xdr:nvSpPr>
        <xdr:cNvPr id="26" name="Shape 5">
          <a:extLst>
            <a:ext uri="{FF2B5EF4-FFF2-40B4-BE49-F238E27FC236}">
              <a16:creationId xmlns:a16="http://schemas.microsoft.com/office/drawing/2014/main" id="{00000000-0008-0000-0100-00001A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66</xdr:row>
      <xdr:rowOff>0</xdr:rowOff>
    </xdr:from>
    <xdr:ext cx="190500" cy="266700"/>
    <xdr:sp macro="" textlink="">
      <xdr:nvSpPr>
        <xdr:cNvPr id="27" name="Shape 5">
          <a:extLst>
            <a:ext uri="{FF2B5EF4-FFF2-40B4-BE49-F238E27FC236}">
              <a16:creationId xmlns:a16="http://schemas.microsoft.com/office/drawing/2014/main" id="{00000000-0008-0000-0100-00001B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66</xdr:row>
      <xdr:rowOff>0</xdr:rowOff>
    </xdr:from>
    <xdr:ext cx="190500" cy="266700"/>
    <xdr:sp macro="" textlink="">
      <xdr:nvSpPr>
        <xdr:cNvPr id="28" name="Shape 5">
          <a:extLst>
            <a:ext uri="{FF2B5EF4-FFF2-40B4-BE49-F238E27FC236}">
              <a16:creationId xmlns:a16="http://schemas.microsoft.com/office/drawing/2014/main" id="{00000000-0008-0000-0100-00001C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66</xdr:row>
      <xdr:rowOff>0</xdr:rowOff>
    </xdr:from>
    <xdr:ext cx="190500" cy="266700"/>
    <xdr:sp macro="" textlink="">
      <xdr:nvSpPr>
        <xdr:cNvPr id="29" name="Shape 5">
          <a:extLst>
            <a:ext uri="{FF2B5EF4-FFF2-40B4-BE49-F238E27FC236}">
              <a16:creationId xmlns:a16="http://schemas.microsoft.com/office/drawing/2014/main" id="{00000000-0008-0000-0100-00001D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67</xdr:row>
      <xdr:rowOff>0</xdr:rowOff>
    </xdr:from>
    <xdr:ext cx="190500" cy="266700"/>
    <xdr:sp macro="" textlink="">
      <xdr:nvSpPr>
        <xdr:cNvPr id="30" name="Shape 5">
          <a:extLst>
            <a:ext uri="{FF2B5EF4-FFF2-40B4-BE49-F238E27FC236}">
              <a16:creationId xmlns:a16="http://schemas.microsoft.com/office/drawing/2014/main" id="{00000000-0008-0000-0100-00001E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67</xdr:row>
      <xdr:rowOff>0</xdr:rowOff>
    </xdr:from>
    <xdr:ext cx="190500" cy="266700"/>
    <xdr:sp macro="" textlink="">
      <xdr:nvSpPr>
        <xdr:cNvPr id="31" name="Shape 5">
          <a:extLst>
            <a:ext uri="{FF2B5EF4-FFF2-40B4-BE49-F238E27FC236}">
              <a16:creationId xmlns:a16="http://schemas.microsoft.com/office/drawing/2014/main" id="{00000000-0008-0000-0100-00001F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62</xdr:row>
      <xdr:rowOff>0</xdr:rowOff>
    </xdr:from>
    <xdr:ext cx="190500" cy="266700"/>
    <xdr:sp macro="" textlink="">
      <xdr:nvSpPr>
        <xdr:cNvPr id="32" name="Shape 5">
          <a:extLst>
            <a:ext uri="{FF2B5EF4-FFF2-40B4-BE49-F238E27FC236}">
              <a16:creationId xmlns:a16="http://schemas.microsoft.com/office/drawing/2014/main" id="{00000000-0008-0000-0100-000020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63</xdr:row>
      <xdr:rowOff>0</xdr:rowOff>
    </xdr:from>
    <xdr:ext cx="190500" cy="266700"/>
    <xdr:sp macro="" textlink="">
      <xdr:nvSpPr>
        <xdr:cNvPr id="33" name="Shape 5">
          <a:extLst>
            <a:ext uri="{FF2B5EF4-FFF2-40B4-BE49-F238E27FC236}">
              <a16:creationId xmlns:a16="http://schemas.microsoft.com/office/drawing/2014/main" id="{00000000-0008-0000-0100-000021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64</xdr:row>
      <xdr:rowOff>0</xdr:rowOff>
    </xdr:from>
    <xdr:ext cx="190500" cy="266700"/>
    <xdr:sp macro="" textlink="">
      <xdr:nvSpPr>
        <xdr:cNvPr id="34" name="Shape 5">
          <a:extLst>
            <a:ext uri="{FF2B5EF4-FFF2-40B4-BE49-F238E27FC236}">
              <a16:creationId xmlns:a16="http://schemas.microsoft.com/office/drawing/2014/main" id="{00000000-0008-0000-0100-000022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65</xdr:row>
      <xdr:rowOff>0</xdr:rowOff>
    </xdr:from>
    <xdr:ext cx="190500" cy="266700"/>
    <xdr:sp macro="" textlink="">
      <xdr:nvSpPr>
        <xdr:cNvPr id="35" name="Shape 5">
          <a:extLst>
            <a:ext uri="{FF2B5EF4-FFF2-40B4-BE49-F238E27FC236}">
              <a16:creationId xmlns:a16="http://schemas.microsoft.com/office/drawing/2014/main" id="{00000000-0008-0000-0100-000023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66</xdr:row>
      <xdr:rowOff>0</xdr:rowOff>
    </xdr:from>
    <xdr:ext cx="190500" cy="266700"/>
    <xdr:sp macro="" textlink="">
      <xdr:nvSpPr>
        <xdr:cNvPr id="36" name="Shape 5">
          <a:extLst>
            <a:ext uri="{FF2B5EF4-FFF2-40B4-BE49-F238E27FC236}">
              <a16:creationId xmlns:a16="http://schemas.microsoft.com/office/drawing/2014/main" id="{00000000-0008-0000-0100-000024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67</xdr:row>
      <xdr:rowOff>0</xdr:rowOff>
    </xdr:from>
    <xdr:ext cx="190500" cy="266700"/>
    <xdr:sp macro="" textlink="">
      <xdr:nvSpPr>
        <xdr:cNvPr id="37" name="Shape 5">
          <a:extLst>
            <a:ext uri="{FF2B5EF4-FFF2-40B4-BE49-F238E27FC236}">
              <a16:creationId xmlns:a16="http://schemas.microsoft.com/office/drawing/2014/main" id="{00000000-0008-0000-0100-000025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twoCellAnchor editAs="oneCell">
    <xdr:from>
      <xdr:col>0</xdr:col>
      <xdr:colOff>42333</xdr:colOff>
      <xdr:row>0</xdr:row>
      <xdr:rowOff>42334</xdr:rowOff>
    </xdr:from>
    <xdr:to>
      <xdr:col>5</xdr:col>
      <xdr:colOff>222873</xdr:colOff>
      <xdr:row>3</xdr:row>
      <xdr:rowOff>251</xdr:rowOff>
    </xdr:to>
    <xdr:pic>
      <xdr:nvPicPr>
        <xdr:cNvPr id="40" name="Picture 39">
          <a:extLst>
            <a:ext uri="{FF2B5EF4-FFF2-40B4-BE49-F238E27FC236}">
              <a16:creationId xmlns:a16="http://schemas.microsoft.com/office/drawing/2014/main" id="{8A45A2BA-BB42-471A-BF25-FA6DE194C7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3" y="42334"/>
          <a:ext cx="2285565" cy="5484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190500</xdr:colOff>
      <xdr:row>162</xdr:row>
      <xdr:rowOff>0</xdr:rowOff>
    </xdr:from>
    <xdr:ext cx="190500" cy="266700"/>
    <xdr:sp macro="" textlink="">
      <xdr:nvSpPr>
        <xdr:cNvPr id="3" name="Shape 3">
          <a:extLst>
            <a:ext uri="{FF2B5EF4-FFF2-40B4-BE49-F238E27FC236}">
              <a16:creationId xmlns:a16="http://schemas.microsoft.com/office/drawing/2014/main" id="{00000000-0008-0000-0200-000003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190500</xdr:colOff>
      <xdr:row>162</xdr:row>
      <xdr:rowOff>0</xdr:rowOff>
    </xdr:from>
    <xdr:ext cx="190500" cy="266700"/>
    <xdr:sp macro="" textlink="">
      <xdr:nvSpPr>
        <xdr:cNvPr id="2" name="Shape 3">
          <a:extLst>
            <a:ext uri="{FF2B5EF4-FFF2-40B4-BE49-F238E27FC236}">
              <a16:creationId xmlns:a16="http://schemas.microsoft.com/office/drawing/2014/main" id="{00000000-0008-0000-0200-000002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11</xdr:col>
      <xdr:colOff>257175</xdr:colOff>
      <xdr:row>1</xdr:row>
      <xdr:rowOff>123825</xdr:rowOff>
    </xdr:from>
    <xdr:ext cx="485775" cy="209550"/>
    <xdr:sp macro="" textlink="">
      <xdr:nvSpPr>
        <xdr:cNvPr id="4" name="Shape 4">
          <a:extLst>
            <a:ext uri="{FF2B5EF4-FFF2-40B4-BE49-F238E27FC236}">
              <a16:creationId xmlns:a16="http://schemas.microsoft.com/office/drawing/2014/main" id="{00000000-0008-0000-0200-000004000000}"/>
            </a:ext>
          </a:extLst>
        </xdr:cNvPr>
        <xdr:cNvSpPr/>
      </xdr:nvSpPr>
      <xdr:spPr>
        <a:xfrm>
          <a:off x="5107875" y="3679988"/>
          <a:ext cx="476250" cy="200025"/>
        </a:xfrm>
        <a:prstGeom prst="ellipse">
          <a:avLst/>
        </a:prstGeom>
        <a:noFill/>
        <a:ln w="9525" cap="flat" cmpd="sng">
          <a:solidFill>
            <a:schemeClr val="dk1"/>
          </a:solidFill>
          <a:prstDash val="solid"/>
          <a:round/>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endParaRPr sz="1100"/>
        </a:p>
      </xdr:txBody>
    </xdr:sp>
    <xdr:clientData fLocksWithSheet="0"/>
  </xdr:oneCellAnchor>
  <xdr:oneCellAnchor>
    <xdr:from>
      <xdr:col>1</xdr:col>
      <xdr:colOff>190500</xdr:colOff>
      <xdr:row>119</xdr:row>
      <xdr:rowOff>0</xdr:rowOff>
    </xdr:from>
    <xdr:ext cx="190500" cy="266700"/>
    <xdr:sp macro="" textlink="">
      <xdr:nvSpPr>
        <xdr:cNvPr id="5" name="Shape 3">
          <a:extLst>
            <a:ext uri="{FF2B5EF4-FFF2-40B4-BE49-F238E27FC236}">
              <a16:creationId xmlns:a16="http://schemas.microsoft.com/office/drawing/2014/main" id="{00000000-0008-0000-0200-000005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190500</xdr:colOff>
      <xdr:row>119</xdr:row>
      <xdr:rowOff>0</xdr:rowOff>
    </xdr:from>
    <xdr:ext cx="190500" cy="266700"/>
    <xdr:sp macro="" textlink="">
      <xdr:nvSpPr>
        <xdr:cNvPr id="6" name="Shape 3">
          <a:extLst>
            <a:ext uri="{FF2B5EF4-FFF2-40B4-BE49-F238E27FC236}">
              <a16:creationId xmlns:a16="http://schemas.microsoft.com/office/drawing/2014/main" id="{00000000-0008-0000-0200-000006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62</xdr:row>
      <xdr:rowOff>0</xdr:rowOff>
    </xdr:from>
    <xdr:ext cx="190500" cy="266700"/>
    <xdr:sp macro="" textlink="">
      <xdr:nvSpPr>
        <xdr:cNvPr id="7" name="Shape 5">
          <a:extLst>
            <a:ext uri="{FF2B5EF4-FFF2-40B4-BE49-F238E27FC236}">
              <a16:creationId xmlns:a16="http://schemas.microsoft.com/office/drawing/2014/main" id="{00000000-0008-0000-0200-000007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62</xdr:row>
      <xdr:rowOff>0</xdr:rowOff>
    </xdr:from>
    <xdr:ext cx="190500" cy="266700"/>
    <xdr:sp macro="" textlink="">
      <xdr:nvSpPr>
        <xdr:cNvPr id="8" name="Shape 5">
          <a:extLst>
            <a:ext uri="{FF2B5EF4-FFF2-40B4-BE49-F238E27FC236}">
              <a16:creationId xmlns:a16="http://schemas.microsoft.com/office/drawing/2014/main" id="{00000000-0008-0000-0200-000008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61</xdr:row>
      <xdr:rowOff>0</xdr:rowOff>
    </xdr:from>
    <xdr:ext cx="190500" cy="266700"/>
    <xdr:sp macro="" textlink="">
      <xdr:nvSpPr>
        <xdr:cNvPr id="9" name="Shape 5">
          <a:extLst>
            <a:ext uri="{FF2B5EF4-FFF2-40B4-BE49-F238E27FC236}">
              <a16:creationId xmlns:a16="http://schemas.microsoft.com/office/drawing/2014/main" id="{00000000-0008-0000-0200-000009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61</xdr:row>
      <xdr:rowOff>0</xdr:rowOff>
    </xdr:from>
    <xdr:ext cx="190500" cy="266700"/>
    <xdr:sp macro="" textlink="">
      <xdr:nvSpPr>
        <xdr:cNvPr id="10" name="Shape 5">
          <a:extLst>
            <a:ext uri="{FF2B5EF4-FFF2-40B4-BE49-F238E27FC236}">
              <a16:creationId xmlns:a16="http://schemas.microsoft.com/office/drawing/2014/main" id="{00000000-0008-0000-0200-00000A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200025</xdr:colOff>
      <xdr:row>119</xdr:row>
      <xdr:rowOff>0</xdr:rowOff>
    </xdr:from>
    <xdr:ext cx="190500" cy="266700"/>
    <xdr:sp macro="" textlink="">
      <xdr:nvSpPr>
        <xdr:cNvPr id="11" name="Shape 3">
          <a:extLst>
            <a:ext uri="{FF2B5EF4-FFF2-40B4-BE49-F238E27FC236}">
              <a16:creationId xmlns:a16="http://schemas.microsoft.com/office/drawing/2014/main" id="{00000000-0008-0000-0200-00000B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200025</xdr:colOff>
      <xdr:row>119</xdr:row>
      <xdr:rowOff>0</xdr:rowOff>
    </xdr:from>
    <xdr:ext cx="190500" cy="266700"/>
    <xdr:sp macro="" textlink="">
      <xdr:nvSpPr>
        <xdr:cNvPr id="12" name="Shape 3">
          <a:extLst>
            <a:ext uri="{FF2B5EF4-FFF2-40B4-BE49-F238E27FC236}">
              <a16:creationId xmlns:a16="http://schemas.microsoft.com/office/drawing/2014/main" id="{00000000-0008-0000-0200-00000C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190500</xdr:colOff>
      <xdr:row>119</xdr:row>
      <xdr:rowOff>0</xdr:rowOff>
    </xdr:from>
    <xdr:ext cx="190500" cy="266700"/>
    <xdr:sp macro="" textlink="">
      <xdr:nvSpPr>
        <xdr:cNvPr id="13" name="Shape 3">
          <a:extLst>
            <a:ext uri="{FF2B5EF4-FFF2-40B4-BE49-F238E27FC236}">
              <a16:creationId xmlns:a16="http://schemas.microsoft.com/office/drawing/2014/main" id="{00000000-0008-0000-0200-00000D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190500</xdr:colOff>
      <xdr:row>119</xdr:row>
      <xdr:rowOff>0</xdr:rowOff>
    </xdr:from>
    <xdr:ext cx="190500" cy="266700"/>
    <xdr:sp macro="" textlink="">
      <xdr:nvSpPr>
        <xdr:cNvPr id="14" name="Shape 3">
          <a:extLst>
            <a:ext uri="{FF2B5EF4-FFF2-40B4-BE49-F238E27FC236}">
              <a16:creationId xmlns:a16="http://schemas.microsoft.com/office/drawing/2014/main" id="{00000000-0008-0000-0200-00000E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62</xdr:row>
      <xdr:rowOff>0</xdr:rowOff>
    </xdr:from>
    <xdr:ext cx="190500" cy="266700"/>
    <xdr:sp macro="" textlink="">
      <xdr:nvSpPr>
        <xdr:cNvPr id="15" name="Shape 5">
          <a:extLst>
            <a:ext uri="{FF2B5EF4-FFF2-40B4-BE49-F238E27FC236}">
              <a16:creationId xmlns:a16="http://schemas.microsoft.com/office/drawing/2014/main" id="{00000000-0008-0000-0200-00000F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62</xdr:row>
      <xdr:rowOff>0</xdr:rowOff>
    </xdr:from>
    <xdr:ext cx="190500" cy="266700"/>
    <xdr:sp macro="" textlink="">
      <xdr:nvSpPr>
        <xdr:cNvPr id="16" name="Shape 5">
          <a:extLst>
            <a:ext uri="{FF2B5EF4-FFF2-40B4-BE49-F238E27FC236}">
              <a16:creationId xmlns:a16="http://schemas.microsoft.com/office/drawing/2014/main" id="{00000000-0008-0000-0200-000010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61</xdr:row>
      <xdr:rowOff>0</xdr:rowOff>
    </xdr:from>
    <xdr:ext cx="190500" cy="266700"/>
    <xdr:sp macro="" textlink="">
      <xdr:nvSpPr>
        <xdr:cNvPr id="17" name="Shape 5">
          <a:extLst>
            <a:ext uri="{FF2B5EF4-FFF2-40B4-BE49-F238E27FC236}">
              <a16:creationId xmlns:a16="http://schemas.microsoft.com/office/drawing/2014/main" id="{00000000-0008-0000-0200-000011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63</xdr:row>
      <xdr:rowOff>0</xdr:rowOff>
    </xdr:from>
    <xdr:ext cx="190500" cy="266700"/>
    <xdr:sp macro="" textlink="">
      <xdr:nvSpPr>
        <xdr:cNvPr id="18" name="Shape 5">
          <a:extLst>
            <a:ext uri="{FF2B5EF4-FFF2-40B4-BE49-F238E27FC236}">
              <a16:creationId xmlns:a16="http://schemas.microsoft.com/office/drawing/2014/main" id="{00000000-0008-0000-0200-000012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63</xdr:row>
      <xdr:rowOff>0</xdr:rowOff>
    </xdr:from>
    <xdr:ext cx="190500" cy="266700"/>
    <xdr:sp macro="" textlink="">
      <xdr:nvSpPr>
        <xdr:cNvPr id="19" name="Shape 5">
          <a:extLst>
            <a:ext uri="{FF2B5EF4-FFF2-40B4-BE49-F238E27FC236}">
              <a16:creationId xmlns:a16="http://schemas.microsoft.com/office/drawing/2014/main" id="{00000000-0008-0000-0200-000013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64</xdr:row>
      <xdr:rowOff>0</xdr:rowOff>
    </xdr:from>
    <xdr:ext cx="190500" cy="266700"/>
    <xdr:sp macro="" textlink="">
      <xdr:nvSpPr>
        <xdr:cNvPr id="20" name="Shape 5">
          <a:extLst>
            <a:ext uri="{FF2B5EF4-FFF2-40B4-BE49-F238E27FC236}">
              <a16:creationId xmlns:a16="http://schemas.microsoft.com/office/drawing/2014/main" id="{00000000-0008-0000-0200-000014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64</xdr:row>
      <xdr:rowOff>0</xdr:rowOff>
    </xdr:from>
    <xdr:ext cx="190500" cy="266700"/>
    <xdr:sp macro="" textlink="">
      <xdr:nvSpPr>
        <xdr:cNvPr id="21" name="Shape 5">
          <a:extLst>
            <a:ext uri="{FF2B5EF4-FFF2-40B4-BE49-F238E27FC236}">
              <a16:creationId xmlns:a16="http://schemas.microsoft.com/office/drawing/2014/main" id="{00000000-0008-0000-0200-000015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65</xdr:row>
      <xdr:rowOff>0</xdr:rowOff>
    </xdr:from>
    <xdr:ext cx="190500" cy="266700"/>
    <xdr:sp macro="" textlink="">
      <xdr:nvSpPr>
        <xdr:cNvPr id="22" name="Shape 5">
          <a:extLst>
            <a:ext uri="{FF2B5EF4-FFF2-40B4-BE49-F238E27FC236}">
              <a16:creationId xmlns:a16="http://schemas.microsoft.com/office/drawing/2014/main" id="{00000000-0008-0000-0200-000016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65</xdr:row>
      <xdr:rowOff>0</xdr:rowOff>
    </xdr:from>
    <xdr:ext cx="190500" cy="266700"/>
    <xdr:sp macro="" textlink="">
      <xdr:nvSpPr>
        <xdr:cNvPr id="23" name="Shape 5">
          <a:extLst>
            <a:ext uri="{FF2B5EF4-FFF2-40B4-BE49-F238E27FC236}">
              <a16:creationId xmlns:a16="http://schemas.microsoft.com/office/drawing/2014/main" id="{00000000-0008-0000-0200-000017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65</xdr:row>
      <xdr:rowOff>0</xdr:rowOff>
    </xdr:from>
    <xdr:ext cx="190500" cy="266700"/>
    <xdr:sp macro="" textlink="">
      <xdr:nvSpPr>
        <xdr:cNvPr id="24" name="Shape 5">
          <a:extLst>
            <a:ext uri="{FF2B5EF4-FFF2-40B4-BE49-F238E27FC236}">
              <a16:creationId xmlns:a16="http://schemas.microsoft.com/office/drawing/2014/main" id="{00000000-0008-0000-0200-000018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65</xdr:row>
      <xdr:rowOff>0</xdr:rowOff>
    </xdr:from>
    <xdr:ext cx="190500" cy="266700"/>
    <xdr:sp macro="" textlink="">
      <xdr:nvSpPr>
        <xdr:cNvPr id="25" name="Shape 5">
          <a:extLst>
            <a:ext uri="{FF2B5EF4-FFF2-40B4-BE49-F238E27FC236}">
              <a16:creationId xmlns:a16="http://schemas.microsoft.com/office/drawing/2014/main" id="{00000000-0008-0000-0200-000019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66</xdr:row>
      <xdr:rowOff>0</xdr:rowOff>
    </xdr:from>
    <xdr:ext cx="190500" cy="266700"/>
    <xdr:sp macro="" textlink="">
      <xdr:nvSpPr>
        <xdr:cNvPr id="26" name="Shape 5">
          <a:extLst>
            <a:ext uri="{FF2B5EF4-FFF2-40B4-BE49-F238E27FC236}">
              <a16:creationId xmlns:a16="http://schemas.microsoft.com/office/drawing/2014/main" id="{00000000-0008-0000-0200-00001A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66</xdr:row>
      <xdr:rowOff>0</xdr:rowOff>
    </xdr:from>
    <xdr:ext cx="190500" cy="266700"/>
    <xdr:sp macro="" textlink="">
      <xdr:nvSpPr>
        <xdr:cNvPr id="27" name="Shape 5">
          <a:extLst>
            <a:ext uri="{FF2B5EF4-FFF2-40B4-BE49-F238E27FC236}">
              <a16:creationId xmlns:a16="http://schemas.microsoft.com/office/drawing/2014/main" id="{00000000-0008-0000-0200-00001B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66</xdr:row>
      <xdr:rowOff>0</xdr:rowOff>
    </xdr:from>
    <xdr:ext cx="190500" cy="266700"/>
    <xdr:sp macro="" textlink="">
      <xdr:nvSpPr>
        <xdr:cNvPr id="28" name="Shape 5">
          <a:extLst>
            <a:ext uri="{FF2B5EF4-FFF2-40B4-BE49-F238E27FC236}">
              <a16:creationId xmlns:a16="http://schemas.microsoft.com/office/drawing/2014/main" id="{00000000-0008-0000-0200-00001C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66</xdr:row>
      <xdr:rowOff>0</xdr:rowOff>
    </xdr:from>
    <xdr:ext cx="190500" cy="266700"/>
    <xdr:sp macro="" textlink="">
      <xdr:nvSpPr>
        <xdr:cNvPr id="29" name="Shape 5">
          <a:extLst>
            <a:ext uri="{FF2B5EF4-FFF2-40B4-BE49-F238E27FC236}">
              <a16:creationId xmlns:a16="http://schemas.microsoft.com/office/drawing/2014/main" id="{00000000-0008-0000-0200-00001D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67</xdr:row>
      <xdr:rowOff>0</xdr:rowOff>
    </xdr:from>
    <xdr:ext cx="190500" cy="266700"/>
    <xdr:sp macro="" textlink="">
      <xdr:nvSpPr>
        <xdr:cNvPr id="30" name="Shape 5">
          <a:extLst>
            <a:ext uri="{FF2B5EF4-FFF2-40B4-BE49-F238E27FC236}">
              <a16:creationId xmlns:a16="http://schemas.microsoft.com/office/drawing/2014/main" id="{00000000-0008-0000-0200-00001E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67</xdr:row>
      <xdr:rowOff>0</xdr:rowOff>
    </xdr:from>
    <xdr:ext cx="190500" cy="266700"/>
    <xdr:sp macro="" textlink="">
      <xdr:nvSpPr>
        <xdr:cNvPr id="31" name="Shape 5">
          <a:extLst>
            <a:ext uri="{FF2B5EF4-FFF2-40B4-BE49-F238E27FC236}">
              <a16:creationId xmlns:a16="http://schemas.microsoft.com/office/drawing/2014/main" id="{00000000-0008-0000-0200-00001F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62</xdr:row>
      <xdr:rowOff>0</xdr:rowOff>
    </xdr:from>
    <xdr:ext cx="190500" cy="266700"/>
    <xdr:sp macro="" textlink="">
      <xdr:nvSpPr>
        <xdr:cNvPr id="32" name="Shape 5">
          <a:extLst>
            <a:ext uri="{FF2B5EF4-FFF2-40B4-BE49-F238E27FC236}">
              <a16:creationId xmlns:a16="http://schemas.microsoft.com/office/drawing/2014/main" id="{00000000-0008-0000-0200-000020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63</xdr:row>
      <xdr:rowOff>0</xdr:rowOff>
    </xdr:from>
    <xdr:ext cx="190500" cy="266700"/>
    <xdr:sp macro="" textlink="">
      <xdr:nvSpPr>
        <xdr:cNvPr id="33" name="Shape 5">
          <a:extLst>
            <a:ext uri="{FF2B5EF4-FFF2-40B4-BE49-F238E27FC236}">
              <a16:creationId xmlns:a16="http://schemas.microsoft.com/office/drawing/2014/main" id="{00000000-0008-0000-0200-000021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64</xdr:row>
      <xdr:rowOff>0</xdr:rowOff>
    </xdr:from>
    <xdr:ext cx="190500" cy="266700"/>
    <xdr:sp macro="" textlink="">
      <xdr:nvSpPr>
        <xdr:cNvPr id="34" name="Shape 5">
          <a:extLst>
            <a:ext uri="{FF2B5EF4-FFF2-40B4-BE49-F238E27FC236}">
              <a16:creationId xmlns:a16="http://schemas.microsoft.com/office/drawing/2014/main" id="{00000000-0008-0000-0200-000022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65</xdr:row>
      <xdr:rowOff>0</xdr:rowOff>
    </xdr:from>
    <xdr:ext cx="190500" cy="266700"/>
    <xdr:sp macro="" textlink="">
      <xdr:nvSpPr>
        <xdr:cNvPr id="35" name="Shape 5">
          <a:extLst>
            <a:ext uri="{FF2B5EF4-FFF2-40B4-BE49-F238E27FC236}">
              <a16:creationId xmlns:a16="http://schemas.microsoft.com/office/drawing/2014/main" id="{00000000-0008-0000-0200-000023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66</xdr:row>
      <xdr:rowOff>0</xdr:rowOff>
    </xdr:from>
    <xdr:ext cx="190500" cy="266700"/>
    <xdr:sp macro="" textlink="">
      <xdr:nvSpPr>
        <xdr:cNvPr id="36" name="Shape 5">
          <a:extLst>
            <a:ext uri="{FF2B5EF4-FFF2-40B4-BE49-F238E27FC236}">
              <a16:creationId xmlns:a16="http://schemas.microsoft.com/office/drawing/2014/main" id="{00000000-0008-0000-0200-000024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18</xdr:col>
      <xdr:colOff>190500</xdr:colOff>
      <xdr:row>67</xdr:row>
      <xdr:rowOff>0</xdr:rowOff>
    </xdr:from>
    <xdr:ext cx="190500" cy="266700"/>
    <xdr:sp macro="" textlink="">
      <xdr:nvSpPr>
        <xdr:cNvPr id="37" name="Shape 5">
          <a:extLst>
            <a:ext uri="{FF2B5EF4-FFF2-40B4-BE49-F238E27FC236}">
              <a16:creationId xmlns:a16="http://schemas.microsoft.com/office/drawing/2014/main" id="{00000000-0008-0000-0200-000025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200025</xdr:colOff>
      <xdr:row>119</xdr:row>
      <xdr:rowOff>0</xdr:rowOff>
    </xdr:from>
    <xdr:ext cx="190500" cy="266700"/>
    <xdr:sp macro="" textlink="">
      <xdr:nvSpPr>
        <xdr:cNvPr id="38" name="Shape 3">
          <a:extLst>
            <a:ext uri="{FF2B5EF4-FFF2-40B4-BE49-F238E27FC236}">
              <a16:creationId xmlns:a16="http://schemas.microsoft.com/office/drawing/2014/main" id="{00000000-0008-0000-0200-000026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200025</xdr:colOff>
      <xdr:row>119</xdr:row>
      <xdr:rowOff>0</xdr:rowOff>
    </xdr:from>
    <xdr:ext cx="190500" cy="266700"/>
    <xdr:sp macro="" textlink="">
      <xdr:nvSpPr>
        <xdr:cNvPr id="39" name="Shape 3">
          <a:extLst>
            <a:ext uri="{FF2B5EF4-FFF2-40B4-BE49-F238E27FC236}">
              <a16:creationId xmlns:a16="http://schemas.microsoft.com/office/drawing/2014/main" id="{00000000-0008-0000-0200-000027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3</xdr:col>
      <xdr:colOff>419100</xdr:colOff>
      <xdr:row>126</xdr:row>
      <xdr:rowOff>0</xdr:rowOff>
    </xdr:from>
    <xdr:ext cx="904875" cy="542925"/>
    <xdr:pic>
      <xdr:nvPicPr>
        <xdr:cNvPr id="41" name="image3.jpg" descr="Lorry_881.JPG">
          <a:extLst>
            <a:ext uri="{FF2B5EF4-FFF2-40B4-BE49-F238E27FC236}">
              <a16:creationId xmlns:a16="http://schemas.microsoft.com/office/drawing/2014/main" id="{00000000-0008-0000-02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352425</xdr:colOff>
      <xdr:row>137</xdr:row>
      <xdr:rowOff>19050</xdr:rowOff>
    </xdr:from>
    <xdr:ext cx="914400" cy="438150"/>
    <xdr:pic>
      <xdr:nvPicPr>
        <xdr:cNvPr id="42" name="image2.jpg" descr="Lorry_882.JPG">
          <a:extLst>
            <a:ext uri="{FF2B5EF4-FFF2-40B4-BE49-F238E27FC236}">
              <a16:creationId xmlns:a16="http://schemas.microsoft.com/office/drawing/2014/main" id="{00000000-0008-0000-0200-00002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twoCellAnchor editAs="oneCell">
    <xdr:from>
      <xdr:col>0</xdr:col>
      <xdr:colOff>42333</xdr:colOff>
      <xdr:row>0</xdr:row>
      <xdr:rowOff>42334</xdr:rowOff>
    </xdr:from>
    <xdr:to>
      <xdr:col>5</xdr:col>
      <xdr:colOff>222873</xdr:colOff>
      <xdr:row>3</xdr:row>
      <xdr:rowOff>251</xdr:rowOff>
    </xdr:to>
    <xdr:pic>
      <xdr:nvPicPr>
        <xdr:cNvPr id="44" name="Picture 43">
          <a:extLst>
            <a:ext uri="{FF2B5EF4-FFF2-40B4-BE49-F238E27FC236}">
              <a16:creationId xmlns:a16="http://schemas.microsoft.com/office/drawing/2014/main" id="{9D234271-776B-427E-868E-30F7E39F365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333" y="42334"/>
          <a:ext cx="2285565" cy="5484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200025</xdr:colOff>
      <xdr:row>102</xdr:row>
      <xdr:rowOff>0</xdr:rowOff>
    </xdr:from>
    <xdr:ext cx="190500" cy="266700"/>
    <xdr:sp macro="" textlink="">
      <xdr:nvSpPr>
        <xdr:cNvPr id="5" name="Shape 5">
          <a:extLst>
            <a:ext uri="{FF2B5EF4-FFF2-40B4-BE49-F238E27FC236}">
              <a16:creationId xmlns:a16="http://schemas.microsoft.com/office/drawing/2014/main" id="{00000000-0008-0000-0300-000005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200025</xdr:colOff>
      <xdr:row>102</xdr:row>
      <xdr:rowOff>0</xdr:rowOff>
    </xdr:from>
    <xdr:ext cx="190500" cy="266700"/>
    <xdr:sp macro="" textlink="">
      <xdr:nvSpPr>
        <xdr:cNvPr id="2" name="Shape 5">
          <a:extLst>
            <a:ext uri="{FF2B5EF4-FFF2-40B4-BE49-F238E27FC236}">
              <a16:creationId xmlns:a16="http://schemas.microsoft.com/office/drawing/2014/main" id="{00000000-0008-0000-0300-000002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11</xdr:col>
      <xdr:colOff>257175</xdr:colOff>
      <xdr:row>1</xdr:row>
      <xdr:rowOff>123825</xdr:rowOff>
    </xdr:from>
    <xdr:ext cx="381000" cy="209550"/>
    <xdr:sp macro="" textlink="">
      <xdr:nvSpPr>
        <xdr:cNvPr id="6" name="Shape 6">
          <a:extLst>
            <a:ext uri="{FF2B5EF4-FFF2-40B4-BE49-F238E27FC236}">
              <a16:creationId xmlns:a16="http://schemas.microsoft.com/office/drawing/2014/main" id="{00000000-0008-0000-0300-000006000000}"/>
            </a:ext>
          </a:extLst>
        </xdr:cNvPr>
        <xdr:cNvSpPr/>
      </xdr:nvSpPr>
      <xdr:spPr>
        <a:xfrm>
          <a:off x="5160263" y="3679988"/>
          <a:ext cx="371475" cy="200025"/>
        </a:xfrm>
        <a:prstGeom prst="ellipse">
          <a:avLst/>
        </a:prstGeom>
        <a:noFill/>
        <a:ln w="9525" cap="flat" cmpd="sng">
          <a:solidFill>
            <a:schemeClr val="dk1"/>
          </a:solidFill>
          <a:prstDash val="solid"/>
          <a:round/>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endParaRPr sz="1100"/>
        </a:p>
      </xdr:txBody>
    </xdr:sp>
    <xdr:clientData fLocksWithSheet="0"/>
  </xdr:oneCellAnchor>
  <xdr:oneCellAnchor>
    <xdr:from>
      <xdr:col>1</xdr:col>
      <xdr:colOff>190500</xdr:colOff>
      <xdr:row>102</xdr:row>
      <xdr:rowOff>0</xdr:rowOff>
    </xdr:from>
    <xdr:ext cx="190500" cy="266700"/>
    <xdr:sp macro="" textlink="">
      <xdr:nvSpPr>
        <xdr:cNvPr id="3" name="Shape 5">
          <a:extLst>
            <a:ext uri="{FF2B5EF4-FFF2-40B4-BE49-F238E27FC236}">
              <a16:creationId xmlns:a16="http://schemas.microsoft.com/office/drawing/2014/main" id="{00000000-0008-0000-0300-000003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190500</xdr:colOff>
      <xdr:row>102</xdr:row>
      <xdr:rowOff>0</xdr:rowOff>
    </xdr:from>
    <xdr:ext cx="190500" cy="266700"/>
    <xdr:sp macro="" textlink="">
      <xdr:nvSpPr>
        <xdr:cNvPr id="4" name="Shape 5">
          <a:extLst>
            <a:ext uri="{FF2B5EF4-FFF2-40B4-BE49-F238E27FC236}">
              <a16:creationId xmlns:a16="http://schemas.microsoft.com/office/drawing/2014/main" id="{00000000-0008-0000-0300-000004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twoCellAnchor editAs="oneCell">
    <xdr:from>
      <xdr:col>0</xdr:col>
      <xdr:colOff>42333</xdr:colOff>
      <xdr:row>0</xdr:row>
      <xdr:rowOff>42334</xdr:rowOff>
    </xdr:from>
    <xdr:to>
      <xdr:col>5</xdr:col>
      <xdr:colOff>184773</xdr:colOff>
      <xdr:row>3</xdr:row>
      <xdr:rowOff>251</xdr:rowOff>
    </xdr:to>
    <xdr:pic>
      <xdr:nvPicPr>
        <xdr:cNvPr id="9" name="Picture 8">
          <a:extLst>
            <a:ext uri="{FF2B5EF4-FFF2-40B4-BE49-F238E27FC236}">
              <a16:creationId xmlns:a16="http://schemas.microsoft.com/office/drawing/2014/main" id="{33B1B1E3-6955-4D8E-BAA4-2F5ACF3A90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3" y="42334"/>
          <a:ext cx="2285565" cy="5484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200025</xdr:colOff>
      <xdr:row>109</xdr:row>
      <xdr:rowOff>0</xdr:rowOff>
    </xdr:from>
    <xdr:ext cx="190500" cy="266700"/>
    <xdr:sp macro="" textlink="">
      <xdr:nvSpPr>
        <xdr:cNvPr id="5" name="Shape 5">
          <a:extLst>
            <a:ext uri="{FF2B5EF4-FFF2-40B4-BE49-F238E27FC236}">
              <a16:creationId xmlns:a16="http://schemas.microsoft.com/office/drawing/2014/main" id="{00000000-0008-0000-0400-000005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200025</xdr:colOff>
      <xdr:row>109</xdr:row>
      <xdr:rowOff>0</xdr:rowOff>
    </xdr:from>
    <xdr:ext cx="190500" cy="266700"/>
    <xdr:sp macro="" textlink="">
      <xdr:nvSpPr>
        <xdr:cNvPr id="2" name="Shape 5">
          <a:extLst>
            <a:ext uri="{FF2B5EF4-FFF2-40B4-BE49-F238E27FC236}">
              <a16:creationId xmlns:a16="http://schemas.microsoft.com/office/drawing/2014/main" id="{00000000-0008-0000-0400-000002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11</xdr:col>
      <xdr:colOff>219075</xdr:colOff>
      <xdr:row>2</xdr:row>
      <xdr:rowOff>28575</xdr:rowOff>
    </xdr:from>
    <xdr:ext cx="295275" cy="104775"/>
    <xdr:sp macro="" textlink="">
      <xdr:nvSpPr>
        <xdr:cNvPr id="7" name="Shape 7">
          <a:extLst>
            <a:ext uri="{FF2B5EF4-FFF2-40B4-BE49-F238E27FC236}">
              <a16:creationId xmlns:a16="http://schemas.microsoft.com/office/drawing/2014/main" id="{00000000-0008-0000-0400-000007000000}"/>
            </a:ext>
          </a:extLst>
        </xdr:cNvPr>
        <xdr:cNvSpPr/>
      </xdr:nvSpPr>
      <xdr:spPr>
        <a:xfrm>
          <a:off x="4829175" y="485775"/>
          <a:ext cx="295275" cy="104775"/>
        </a:xfrm>
        <a:prstGeom prst="ellipse">
          <a:avLst/>
        </a:prstGeom>
        <a:noFill/>
        <a:ln w="9525" cap="flat" cmpd="sng">
          <a:solidFill>
            <a:schemeClr val="dk1"/>
          </a:solidFill>
          <a:prstDash val="solid"/>
          <a:round/>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endParaRPr sz="1100"/>
        </a:p>
      </xdr:txBody>
    </xdr:sp>
    <xdr:clientData fLocksWithSheet="0"/>
  </xdr:oneCellAnchor>
  <xdr:oneCellAnchor>
    <xdr:from>
      <xdr:col>1</xdr:col>
      <xdr:colOff>190500</xdr:colOff>
      <xdr:row>109</xdr:row>
      <xdr:rowOff>0</xdr:rowOff>
    </xdr:from>
    <xdr:ext cx="190500" cy="266700"/>
    <xdr:sp macro="" textlink="">
      <xdr:nvSpPr>
        <xdr:cNvPr id="3" name="Shape 5">
          <a:extLst>
            <a:ext uri="{FF2B5EF4-FFF2-40B4-BE49-F238E27FC236}">
              <a16:creationId xmlns:a16="http://schemas.microsoft.com/office/drawing/2014/main" id="{00000000-0008-0000-0400-000003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190500</xdr:colOff>
      <xdr:row>109</xdr:row>
      <xdr:rowOff>0</xdr:rowOff>
    </xdr:from>
    <xdr:ext cx="190500" cy="266700"/>
    <xdr:sp macro="" textlink="">
      <xdr:nvSpPr>
        <xdr:cNvPr id="4" name="Shape 5">
          <a:extLst>
            <a:ext uri="{FF2B5EF4-FFF2-40B4-BE49-F238E27FC236}">
              <a16:creationId xmlns:a16="http://schemas.microsoft.com/office/drawing/2014/main" id="{00000000-0008-0000-0400-000004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twoCellAnchor editAs="oneCell">
    <xdr:from>
      <xdr:col>0</xdr:col>
      <xdr:colOff>42333</xdr:colOff>
      <xdr:row>0</xdr:row>
      <xdr:rowOff>42334</xdr:rowOff>
    </xdr:from>
    <xdr:to>
      <xdr:col>5</xdr:col>
      <xdr:colOff>184773</xdr:colOff>
      <xdr:row>2</xdr:row>
      <xdr:rowOff>133601</xdr:rowOff>
    </xdr:to>
    <xdr:pic>
      <xdr:nvPicPr>
        <xdr:cNvPr id="9" name="Picture 8">
          <a:extLst>
            <a:ext uri="{FF2B5EF4-FFF2-40B4-BE49-F238E27FC236}">
              <a16:creationId xmlns:a16="http://schemas.microsoft.com/office/drawing/2014/main" id="{B5A63C36-AE9E-4A7B-9CA8-18B6885EA5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3" y="42334"/>
          <a:ext cx="2285565" cy="5484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200025</xdr:colOff>
      <xdr:row>108</xdr:row>
      <xdr:rowOff>0</xdr:rowOff>
    </xdr:from>
    <xdr:ext cx="190500" cy="266700"/>
    <xdr:sp macro="" textlink="">
      <xdr:nvSpPr>
        <xdr:cNvPr id="3" name="Shape 3">
          <a:extLst>
            <a:ext uri="{FF2B5EF4-FFF2-40B4-BE49-F238E27FC236}">
              <a16:creationId xmlns:a16="http://schemas.microsoft.com/office/drawing/2014/main" id="{00000000-0008-0000-0500-000003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200025</xdr:colOff>
      <xdr:row>108</xdr:row>
      <xdr:rowOff>0</xdr:rowOff>
    </xdr:from>
    <xdr:ext cx="190500" cy="266700"/>
    <xdr:sp macro="" textlink="">
      <xdr:nvSpPr>
        <xdr:cNvPr id="2" name="Shape 3">
          <a:extLst>
            <a:ext uri="{FF2B5EF4-FFF2-40B4-BE49-F238E27FC236}">
              <a16:creationId xmlns:a16="http://schemas.microsoft.com/office/drawing/2014/main" id="{00000000-0008-0000-0500-000002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11</xdr:col>
      <xdr:colOff>222539</xdr:colOff>
      <xdr:row>2</xdr:row>
      <xdr:rowOff>29441</xdr:rowOff>
    </xdr:from>
    <xdr:ext cx="304800" cy="104775"/>
    <xdr:sp macro="" textlink="">
      <xdr:nvSpPr>
        <xdr:cNvPr id="8" name="Shape 8">
          <a:extLst>
            <a:ext uri="{FF2B5EF4-FFF2-40B4-BE49-F238E27FC236}">
              <a16:creationId xmlns:a16="http://schemas.microsoft.com/office/drawing/2014/main" id="{00000000-0008-0000-0500-000008000000}"/>
            </a:ext>
          </a:extLst>
        </xdr:cNvPr>
        <xdr:cNvSpPr/>
      </xdr:nvSpPr>
      <xdr:spPr>
        <a:xfrm>
          <a:off x="4811857" y="514350"/>
          <a:ext cx="304800" cy="104775"/>
        </a:xfrm>
        <a:prstGeom prst="ellipse">
          <a:avLst/>
        </a:prstGeom>
        <a:noFill/>
        <a:ln w="9525" cap="flat" cmpd="sng">
          <a:solidFill>
            <a:schemeClr val="dk1"/>
          </a:solidFill>
          <a:prstDash val="solid"/>
          <a:round/>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endParaRPr sz="1100"/>
        </a:p>
      </xdr:txBody>
    </xdr:sp>
    <xdr:clientData fLocksWithSheet="0"/>
  </xdr:oneCellAnchor>
  <xdr:oneCellAnchor>
    <xdr:from>
      <xdr:col>1</xdr:col>
      <xdr:colOff>190500</xdr:colOff>
      <xdr:row>108</xdr:row>
      <xdr:rowOff>0</xdr:rowOff>
    </xdr:from>
    <xdr:ext cx="190500" cy="266700"/>
    <xdr:sp macro="" textlink="">
      <xdr:nvSpPr>
        <xdr:cNvPr id="4" name="Shape 3">
          <a:extLst>
            <a:ext uri="{FF2B5EF4-FFF2-40B4-BE49-F238E27FC236}">
              <a16:creationId xmlns:a16="http://schemas.microsoft.com/office/drawing/2014/main" id="{00000000-0008-0000-0500-000004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190500</xdr:colOff>
      <xdr:row>108</xdr:row>
      <xdr:rowOff>0</xdr:rowOff>
    </xdr:from>
    <xdr:ext cx="190500" cy="266700"/>
    <xdr:sp macro="" textlink="">
      <xdr:nvSpPr>
        <xdr:cNvPr id="5" name="Shape 3">
          <a:extLst>
            <a:ext uri="{FF2B5EF4-FFF2-40B4-BE49-F238E27FC236}">
              <a16:creationId xmlns:a16="http://schemas.microsoft.com/office/drawing/2014/main" id="{00000000-0008-0000-0500-000005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twoCellAnchor editAs="oneCell">
    <xdr:from>
      <xdr:col>0</xdr:col>
      <xdr:colOff>42333</xdr:colOff>
      <xdr:row>0</xdr:row>
      <xdr:rowOff>42334</xdr:rowOff>
    </xdr:from>
    <xdr:to>
      <xdr:col>5</xdr:col>
      <xdr:colOff>184773</xdr:colOff>
      <xdr:row>2</xdr:row>
      <xdr:rowOff>114551</xdr:rowOff>
    </xdr:to>
    <xdr:pic>
      <xdr:nvPicPr>
        <xdr:cNvPr id="9" name="Picture 8">
          <a:extLst>
            <a:ext uri="{FF2B5EF4-FFF2-40B4-BE49-F238E27FC236}">
              <a16:creationId xmlns:a16="http://schemas.microsoft.com/office/drawing/2014/main" id="{605F512D-D4B0-45F0-8F64-02CAFA965F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3" y="42334"/>
          <a:ext cx="2285565" cy="5484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200025</xdr:colOff>
      <xdr:row>112</xdr:row>
      <xdr:rowOff>0</xdr:rowOff>
    </xdr:from>
    <xdr:ext cx="190500" cy="266700"/>
    <xdr:sp macro="" textlink="">
      <xdr:nvSpPr>
        <xdr:cNvPr id="5" name="Shape 5">
          <a:extLst>
            <a:ext uri="{FF2B5EF4-FFF2-40B4-BE49-F238E27FC236}">
              <a16:creationId xmlns:a16="http://schemas.microsoft.com/office/drawing/2014/main" id="{00000000-0008-0000-0600-000005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200025</xdr:colOff>
      <xdr:row>112</xdr:row>
      <xdr:rowOff>0</xdr:rowOff>
    </xdr:from>
    <xdr:ext cx="190500" cy="266700"/>
    <xdr:sp macro="" textlink="">
      <xdr:nvSpPr>
        <xdr:cNvPr id="2" name="Shape 5">
          <a:extLst>
            <a:ext uri="{FF2B5EF4-FFF2-40B4-BE49-F238E27FC236}">
              <a16:creationId xmlns:a16="http://schemas.microsoft.com/office/drawing/2014/main" id="{00000000-0008-0000-0600-000002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11</xdr:col>
      <xdr:colOff>224887</xdr:colOff>
      <xdr:row>2</xdr:row>
      <xdr:rowOff>25346</xdr:rowOff>
    </xdr:from>
    <xdr:ext cx="314325" cy="104775"/>
    <xdr:sp macro="" textlink="">
      <xdr:nvSpPr>
        <xdr:cNvPr id="9" name="Shape 9">
          <a:extLst>
            <a:ext uri="{FF2B5EF4-FFF2-40B4-BE49-F238E27FC236}">
              <a16:creationId xmlns:a16="http://schemas.microsoft.com/office/drawing/2014/main" id="{00000000-0008-0000-0600-000009000000}"/>
            </a:ext>
          </a:extLst>
        </xdr:cNvPr>
        <xdr:cNvSpPr/>
      </xdr:nvSpPr>
      <xdr:spPr>
        <a:xfrm>
          <a:off x="4842090" y="461236"/>
          <a:ext cx="314325" cy="104775"/>
        </a:xfrm>
        <a:prstGeom prst="ellipse">
          <a:avLst/>
        </a:prstGeom>
        <a:noFill/>
        <a:ln w="9525" cap="flat" cmpd="sng">
          <a:solidFill>
            <a:schemeClr val="dk1"/>
          </a:solidFill>
          <a:prstDash val="solid"/>
          <a:round/>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endParaRPr sz="1100"/>
        </a:p>
      </xdr:txBody>
    </xdr:sp>
    <xdr:clientData fLocksWithSheet="0"/>
  </xdr:oneCellAnchor>
  <xdr:oneCellAnchor>
    <xdr:from>
      <xdr:col>1</xdr:col>
      <xdr:colOff>190500</xdr:colOff>
      <xdr:row>112</xdr:row>
      <xdr:rowOff>0</xdr:rowOff>
    </xdr:from>
    <xdr:ext cx="190500" cy="266700"/>
    <xdr:sp macro="" textlink="">
      <xdr:nvSpPr>
        <xdr:cNvPr id="3" name="Shape 5">
          <a:extLst>
            <a:ext uri="{FF2B5EF4-FFF2-40B4-BE49-F238E27FC236}">
              <a16:creationId xmlns:a16="http://schemas.microsoft.com/office/drawing/2014/main" id="{00000000-0008-0000-0600-000003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190500</xdr:colOff>
      <xdr:row>112</xdr:row>
      <xdr:rowOff>0</xdr:rowOff>
    </xdr:from>
    <xdr:ext cx="190500" cy="266700"/>
    <xdr:sp macro="" textlink="">
      <xdr:nvSpPr>
        <xdr:cNvPr id="4" name="Shape 5">
          <a:extLst>
            <a:ext uri="{FF2B5EF4-FFF2-40B4-BE49-F238E27FC236}">
              <a16:creationId xmlns:a16="http://schemas.microsoft.com/office/drawing/2014/main" id="{00000000-0008-0000-0600-000004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200025</xdr:colOff>
      <xdr:row>114</xdr:row>
      <xdr:rowOff>0</xdr:rowOff>
    </xdr:from>
    <xdr:ext cx="190500" cy="266700"/>
    <xdr:sp macro="" textlink="">
      <xdr:nvSpPr>
        <xdr:cNvPr id="6" name="Shape 3">
          <a:extLst>
            <a:ext uri="{FF2B5EF4-FFF2-40B4-BE49-F238E27FC236}">
              <a16:creationId xmlns:a16="http://schemas.microsoft.com/office/drawing/2014/main" id="{00000000-0008-0000-0600-000006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200025</xdr:colOff>
      <xdr:row>114</xdr:row>
      <xdr:rowOff>0</xdr:rowOff>
    </xdr:from>
    <xdr:ext cx="190500" cy="266700"/>
    <xdr:sp macro="" textlink="">
      <xdr:nvSpPr>
        <xdr:cNvPr id="7" name="Shape 3">
          <a:extLst>
            <a:ext uri="{FF2B5EF4-FFF2-40B4-BE49-F238E27FC236}">
              <a16:creationId xmlns:a16="http://schemas.microsoft.com/office/drawing/2014/main" id="{00000000-0008-0000-0600-000007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3</xdr:col>
      <xdr:colOff>419100</xdr:colOff>
      <xdr:row>121</xdr:row>
      <xdr:rowOff>0</xdr:rowOff>
    </xdr:from>
    <xdr:ext cx="962025" cy="533400"/>
    <xdr:pic>
      <xdr:nvPicPr>
        <xdr:cNvPr id="10" name="image3.jpg" descr="Lorry_881.JPG">
          <a:extLst>
            <a:ext uri="{FF2B5EF4-FFF2-40B4-BE49-F238E27FC236}">
              <a16:creationId xmlns:a16="http://schemas.microsoft.com/office/drawing/2014/main" id="{00000000-0008-0000-06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419100</xdr:colOff>
      <xdr:row>130</xdr:row>
      <xdr:rowOff>76200</xdr:rowOff>
    </xdr:from>
    <xdr:ext cx="914400" cy="428625"/>
    <xdr:pic>
      <xdr:nvPicPr>
        <xdr:cNvPr id="11" name="image2.jpg" descr="Lorry_882.JPG">
          <a:extLst>
            <a:ext uri="{FF2B5EF4-FFF2-40B4-BE49-F238E27FC236}">
              <a16:creationId xmlns:a16="http://schemas.microsoft.com/office/drawing/2014/main" id="{00000000-0008-0000-0600-00000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twoCellAnchor editAs="oneCell">
    <xdr:from>
      <xdr:col>0</xdr:col>
      <xdr:colOff>42333</xdr:colOff>
      <xdr:row>0</xdr:row>
      <xdr:rowOff>42334</xdr:rowOff>
    </xdr:from>
    <xdr:to>
      <xdr:col>5</xdr:col>
      <xdr:colOff>184773</xdr:colOff>
      <xdr:row>3</xdr:row>
      <xdr:rowOff>251</xdr:rowOff>
    </xdr:to>
    <xdr:pic>
      <xdr:nvPicPr>
        <xdr:cNvPr id="12" name="Picture 11">
          <a:extLst>
            <a:ext uri="{FF2B5EF4-FFF2-40B4-BE49-F238E27FC236}">
              <a16:creationId xmlns:a16="http://schemas.microsoft.com/office/drawing/2014/main" id="{3EC99215-69B9-4830-8DDC-4115CA1787A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333" y="42334"/>
          <a:ext cx="2285565" cy="54846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200025</xdr:colOff>
      <xdr:row>82</xdr:row>
      <xdr:rowOff>0</xdr:rowOff>
    </xdr:from>
    <xdr:ext cx="190500" cy="266700"/>
    <xdr:sp macro="" textlink="">
      <xdr:nvSpPr>
        <xdr:cNvPr id="5" name="Shape 5">
          <a:extLst>
            <a:ext uri="{FF2B5EF4-FFF2-40B4-BE49-F238E27FC236}">
              <a16:creationId xmlns:a16="http://schemas.microsoft.com/office/drawing/2014/main" id="{00000000-0008-0000-0700-000005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200025</xdr:colOff>
      <xdr:row>82</xdr:row>
      <xdr:rowOff>0</xdr:rowOff>
    </xdr:from>
    <xdr:ext cx="190500" cy="266700"/>
    <xdr:sp macro="" textlink="">
      <xdr:nvSpPr>
        <xdr:cNvPr id="2" name="Shape 5">
          <a:extLst>
            <a:ext uri="{FF2B5EF4-FFF2-40B4-BE49-F238E27FC236}">
              <a16:creationId xmlns:a16="http://schemas.microsoft.com/office/drawing/2014/main" id="{00000000-0008-0000-0700-000002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11</xdr:col>
      <xdr:colOff>206151</xdr:colOff>
      <xdr:row>1</xdr:row>
      <xdr:rowOff>123825</xdr:rowOff>
    </xdr:from>
    <xdr:ext cx="381000" cy="209550"/>
    <xdr:sp macro="" textlink="">
      <xdr:nvSpPr>
        <xdr:cNvPr id="6" name="Shape 6">
          <a:extLst>
            <a:ext uri="{FF2B5EF4-FFF2-40B4-BE49-F238E27FC236}">
              <a16:creationId xmlns:a16="http://schemas.microsoft.com/office/drawing/2014/main" id="{00000000-0008-0000-0700-000006000000}"/>
            </a:ext>
          </a:extLst>
        </xdr:cNvPr>
        <xdr:cNvSpPr/>
      </xdr:nvSpPr>
      <xdr:spPr>
        <a:xfrm>
          <a:off x="4815571" y="276905"/>
          <a:ext cx="381000" cy="209550"/>
        </a:xfrm>
        <a:prstGeom prst="ellipse">
          <a:avLst/>
        </a:prstGeom>
        <a:noFill/>
        <a:ln w="9525" cap="flat" cmpd="sng">
          <a:solidFill>
            <a:schemeClr val="dk1"/>
          </a:solidFill>
          <a:prstDash val="solid"/>
          <a:round/>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endParaRPr sz="1100"/>
        </a:p>
      </xdr:txBody>
    </xdr:sp>
    <xdr:clientData fLocksWithSheet="0"/>
  </xdr:oneCellAnchor>
  <xdr:oneCellAnchor>
    <xdr:from>
      <xdr:col>1</xdr:col>
      <xdr:colOff>190500</xdr:colOff>
      <xdr:row>82</xdr:row>
      <xdr:rowOff>0</xdr:rowOff>
    </xdr:from>
    <xdr:ext cx="190500" cy="266700"/>
    <xdr:sp macro="" textlink="">
      <xdr:nvSpPr>
        <xdr:cNvPr id="3" name="Shape 5">
          <a:extLst>
            <a:ext uri="{FF2B5EF4-FFF2-40B4-BE49-F238E27FC236}">
              <a16:creationId xmlns:a16="http://schemas.microsoft.com/office/drawing/2014/main" id="{00000000-0008-0000-0700-000003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190500</xdr:colOff>
      <xdr:row>82</xdr:row>
      <xdr:rowOff>0</xdr:rowOff>
    </xdr:from>
    <xdr:ext cx="190500" cy="266700"/>
    <xdr:sp macro="" textlink="">
      <xdr:nvSpPr>
        <xdr:cNvPr id="4" name="Shape 5">
          <a:extLst>
            <a:ext uri="{FF2B5EF4-FFF2-40B4-BE49-F238E27FC236}">
              <a16:creationId xmlns:a16="http://schemas.microsoft.com/office/drawing/2014/main" id="{00000000-0008-0000-0700-000004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twoCellAnchor editAs="oneCell">
    <xdr:from>
      <xdr:col>0</xdr:col>
      <xdr:colOff>42333</xdr:colOff>
      <xdr:row>0</xdr:row>
      <xdr:rowOff>42334</xdr:rowOff>
    </xdr:from>
    <xdr:to>
      <xdr:col>5</xdr:col>
      <xdr:colOff>184773</xdr:colOff>
      <xdr:row>3</xdr:row>
      <xdr:rowOff>47876</xdr:rowOff>
    </xdr:to>
    <xdr:pic>
      <xdr:nvPicPr>
        <xdr:cNvPr id="8" name="Picture 7">
          <a:extLst>
            <a:ext uri="{FF2B5EF4-FFF2-40B4-BE49-F238E27FC236}">
              <a16:creationId xmlns:a16="http://schemas.microsoft.com/office/drawing/2014/main" id="{F16F3AAF-6E72-4742-B7E0-4CD43FF64A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3" y="42334"/>
          <a:ext cx="2285565" cy="54846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200025</xdr:colOff>
      <xdr:row>102</xdr:row>
      <xdr:rowOff>0</xdr:rowOff>
    </xdr:from>
    <xdr:ext cx="190500" cy="266700"/>
    <xdr:sp macro="" textlink="">
      <xdr:nvSpPr>
        <xdr:cNvPr id="5" name="Shape 5">
          <a:extLst>
            <a:ext uri="{FF2B5EF4-FFF2-40B4-BE49-F238E27FC236}">
              <a16:creationId xmlns:a16="http://schemas.microsoft.com/office/drawing/2014/main" id="{00000000-0008-0000-0800-000005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200025</xdr:colOff>
      <xdr:row>102</xdr:row>
      <xdr:rowOff>0</xdr:rowOff>
    </xdr:from>
    <xdr:ext cx="190500" cy="266700"/>
    <xdr:sp macro="" textlink="">
      <xdr:nvSpPr>
        <xdr:cNvPr id="2" name="Shape 5">
          <a:extLst>
            <a:ext uri="{FF2B5EF4-FFF2-40B4-BE49-F238E27FC236}">
              <a16:creationId xmlns:a16="http://schemas.microsoft.com/office/drawing/2014/main" id="{00000000-0008-0000-0800-000002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11</xdr:col>
      <xdr:colOff>257175</xdr:colOff>
      <xdr:row>1</xdr:row>
      <xdr:rowOff>123825</xdr:rowOff>
    </xdr:from>
    <xdr:ext cx="381000" cy="209550"/>
    <xdr:sp macro="" textlink="">
      <xdr:nvSpPr>
        <xdr:cNvPr id="6" name="Shape 6">
          <a:extLst>
            <a:ext uri="{FF2B5EF4-FFF2-40B4-BE49-F238E27FC236}">
              <a16:creationId xmlns:a16="http://schemas.microsoft.com/office/drawing/2014/main" id="{00000000-0008-0000-0800-000006000000}"/>
            </a:ext>
          </a:extLst>
        </xdr:cNvPr>
        <xdr:cNvSpPr/>
      </xdr:nvSpPr>
      <xdr:spPr>
        <a:xfrm>
          <a:off x="5160263" y="3679988"/>
          <a:ext cx="371475" cy="200025"/>
        </a:xfrm>
        <a:prstGeom prst="ellipse">
          <a:avLst/>
        </a:prstGeom>
        <a:noFill/>
        <a:ln w="9525" cap="flat" cmpd="sng">
          <a:solidFill>
            <a:schemeClr val="dk1"/>
          </a:solidFill>
          <a:prstDash val="solid"/>
          <a:round/>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endParaRPr sz="1100"/>
        </a:p>
      </xdr:txBody>
    </xdr:sp>
    <xdr:clientData fLocksWithSheet="0"/>
  </xdr:oneCellAnchor>
  <xdr:oneCellAnchor>
    <xdr:from>
      <xdr:col>1</xdr:col>
      <xdr:colOff>190500</xdr:colOff>
      <xdr:row>102</xdr:row>
      <xdr:rowOff>0</xdr:rowOff>
    </xdr:from>
    <xdr:ext cx="190500" cy="266700"/>
    <xdr:sp macro="" textlink="">
      <xdr:nvSpPr>
        <xdr:cNvPr id="3" name="Shape 5">
          <a:extLst>
            <a:ext uri="{FF2B5EF4-FFF2-40B4-BE49-F238E27FC236}">
              <a16:creationId xmlns:a16="http://schemas.microsoft.com/office/drawing/2014/main" id="{00000000-0008-0000-0800-000003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190500</xdr:colOff>
      <xdr:row>102</xdr:row>
      <xdr:rowOff>0</xdr:rowOff>
    </xdr:from>
    <xdr:ext cx="190500" cy="266700"/>
    <xdr:sp macro="" textlink="">
      <xdr:nvSpPr>
        <xdr:cNvPr id="4" name="Shape 5">
          <a:extLst>
            <a:ext uri="{FF2B5EF4-FFF2-40B4-BE49-F238E27FC236}">
              <a16:creationId xmlns:a16="http://schemas.microsoft.com/office/drawing/2014/main" id="{00000000-0008-0000-0800-000004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5</xdr:col>
      <xdr:colOff>266700</xdr:colOff>
      <xdr:row>111</xdr:row>
      <xdr:rowOff>28575</xdr:rowOff>
    </xdr:from>
    <xdr:ext cx="428625" cy="390525"/>
    <xdr:pic>
      <xdr:nvPicPr>
        <xdr:cNvPr id="8" name="image4.png">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285750</xdr:colOff>
      <xdr:row>111</xdr:row>
      <xdr:rowOff>28575</xdr:rowOff>
    </xdr:from>
    <xdr:ext cx="438150" cy="390525"/>
    <xdr:pic>
      <xdr:nvPicPr>
        <xdr:cNvPr id="9" name="image4.png">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247650</xdr:colOff>
      <xdr:row>111</xdr:row>
      <xdr:rowOff>19050</xdr:rowOff>
    </xdr:from>
    <xdr:ext cx="438150" cy="390525"/>
    <xdr:pic>
      <xdr:nvPicPr>
        <xdr:cNvPr id="10" name="image4.png">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228600</xdr:colOff>
      <xdr:row>111</xdr:row>
      <xdr:rowOff>38100</xdr:rowOff>
    </xdr:from>
    <xdr:ext cx="409575" cy="352425"/>
    <xdr:pic>
      <xdr:nvPicPr>
        <xdr:cNvPr id="11" name="image5.png">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0</xdr:colOff>
      <xdr:row>111</xdr:row>
      <xdr:rowOff>0</xdr:rowOff>
    </xdr:from>
    <xdr:ext cx="428625" cy="428625"/>
    <xdr:pic>
      <xdr:nvPicPr>
        <xdr:cNvPr id="12" name="image4.png">
          <a:extLst>
            <a:ext uri="{FF2B5EF4-FFF2-40B4-BE49-F238E27FC236}">
              <a16:creationId xmlns:a16="http://schemas.microsoft.com/office/drawing/2014/main" id="{00000000-0008-0000-08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42333</xdr:colOff>
      <xdr:row>0</xdr:row>
      <xdr:rowOff>42334</xdr:rowOff>
    </xdr:from>
    <xdr:to>
      <xdr:col>5</xdr:col>
      <xdr:colOff>184773</xdr:colOff>
      <xdr:row>3</xdr:row>
      <xdr:rowOff>105026</xdr:rowOff>
    </xdr:to>
    <xdr:pic>
      <xdr:nvPicPr>
        <xdr:cNvPr id="13" name="Picture 12">
          <a:extLst>
            <a:ext uri="{FF2B5EF4-FFF2-40B4-BE49-F238E27FC236}">
              <a16:creationId xmlns:a16="http://schemas.microsoft.com/office/drawing/2014/main" id="{583BA719-A5F2-4739-B019-58AA1609896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333" y="42334"/>
          <a:ext cx="2285565" cy="548467"/>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J1000"/>
  <sheetViews>
    <sheetView tabSelected="1" view="pageBreakPreview" zoomScale="110" zoomScaleNormal="100" zoomScaleSheetLayoutView="110" workbookViewId="0">
      <selection activeCell="AH17" sqref="AH17"/>
    </sheetView>
  </sheetViews>
  <sheetFormatPr defaultColWidth="12.5703125" defaultRowHeight="15" customHeight="1"/>
  <cols>
    <col min="1" max="1" width="5.28515625" customWidth="1"/>
    <col min="2" max="2" width="6.28515625" customWidth="1"/>
    <col min="3" max="3" width="6" customWidth="1"/>
    <col min="4" max="4" width="5.140625" customWidth="1"/>
    <col min="5" max="5" width="8.85546875" customWidth="1"/>
    <col min="6" max="6" width="5.7109375" customWidth="1"/>
    <col min="7" max="7" width="6.28515625" customWidth="1"/>
    <col min="8" max="8" width="6.5703125" customWidth="1"/>
    <col min="9" max="9" width="5.140625" customWidth="1"/>
    <col min="10" max="10" width="7.140625" customWidth="1"/>
    <col min="11" max="11" width="6.5703125" customWidth="1"/>
    <col min="12" max="12" width="5.7109375" customWidth="1"/>
    <col min="13" max="14" width="3.85546875" customWidth="1"/>
    <col min="15" max="15" width="2.7109375" customWidth="1"/>
    <col min="16" max="16" width="2.5703125" customWidth="1"/>
    <col min="17" max="17" width="3.42578125" customWidth="1"/>
    <col min="18" max="27" width="9.140625" hidden="1" customWidth="1"/>
    <col min="28" max="28" width="11.42578125" hidden="1" customWidth="1"/>
    <col min="29" max="29" width="9.140625" hidden="1" customWidth="1"/>
    <col min="30" max="36" width="9.140625" customWidth="1"/>
  </cols>
  <sheetData>
    <row r="1" spans="1:36" ht="23.25" customHeight="1">
      <c r="A1" s="206"/>
      <c r="B1" s="206"/>
      <c r="C1" s="206"/>
      <c r="D1" s="206"/>
      <c r="E1" s="206"/>
      <c r="F1" s="206"/>
      <c r="G1" s="1"/>
      <c r="H1" s="1"/>
      <c r="I1" s="1"/>
      <c r="J1" s="1"/>
      <c r="K1" s="1"/>
      <c r="L1" s="1"/>
      <c r="M1" s="1"/>
      <c r="N1" s="1"/>
      <c r="O1" s="1"/>
      <c r="P1" s="1"/>
      <c r="Q1" s="2" t="str">
        <f>IF($D$14="English","Test Report - Dual Range &lt; 1 t","Test Report - Zweibereich &lt; 1 t")</f>
        <v>Test Report - Dual Range &lt; 1 t</v>
      </c>
      <c r="R1" s="1" t="s">
        <v>0</v>
      </c>
      <c r="S1" s="224" t="s">
        <v>1</v>
      </c>
      <c r="T1" s="225"/>
      <c r="U1" s="226"/>
      <c r="V1" s="1"/>
      <c r="W1" s="1"/>
      <c r="X1" s="1"/>
      <c r="Y1" s="1"/>
      <c r="Z1" s="1"/>
      <c r="AA1" s="1"/>
      <c r="AB1" s="1"/>
      <c r="AC1" s="1"/>
      <c r="AD1" s="1"/>
      <c r="AE1" s="1"/>
      <c r="AF1" s="1"/>
      <c r="AG1" s="1"/>
      <c r="AH1" s="1"/>
      <c r="AI1" s="1"/>
      <c r="AJ1" s="1"/>
    </row>
    <row r="2" spans="1:36" ht="12" customHeight="1">
      <c r="A2" s="206"/>
      <c r="B2" s="206"/>
      <c r="C2" s="206"/>
      <c r="D2" s="206"/>
      <c r="E2" s="206"/>
      <c r="F2" s="206"/>
      <c r="G2" s="1"/>
      <c r="H2" s="1"/>
      <c r="I2" s="1"/>
      <c r="J2" s="1"/>
      <c r="K2" s="1"/>
      <c r="L2" s="1"/>
      <c r="M2" s="1"/>
      <c r="N2" s="1"/>
      <c r="O2" s="1"/>
      <c r="P2" s="1"/>
      <c r="Q2" s="4"/>
      <c r="R2" s="1" t="s">
        <v>2</v>
      </c>
      <c r="S2" s="224" t="s">
        <v>3</v>
      </c>
      <c r="T2" s="225"/>
      <c r="U2" s="226"/>
      <c r="V2" s="1"/>
      <c r="W2" s="1"/>
      <c r="X2" s="1"/>
      <c r="Y2" s="1"/>
      <c r="Z2" s="1"/>
      <c r="AA2" s="1"/>
      <c r="AB2" s="1"/>
      <c r="AC2" s="1"/>
      <c r="AD2" s="1"/>
      <c r="AE2" s="1"/>
      <c r="AF2" s="1"/>
      <c r="AG2" s="1"/>
      <c r="AH2" s="1"/>
      <c r="AI2" s="1"/>
      <c r="AJ2" s="1"/>
    </row>
    <row r="3" spans="1:36" ht="12" customHeight="1">
      <c r="A3" s="207"/>
      <c r="B3" s="207"/>
      <c r="C3" s="207"/>
      <c r="D3" s="207"/>
      <c r="E3" s="207"/>
      <c r="F3" s="207"/>
      <c r="G3" s="1"/>
      <c r="H3" s="1"/>
      <c r="I3" s="1"/>
      <c r="J3" s="1" t="str">
        <f>IF($D$14="English","Accuracy Class","Genauigkeitsklasse")</f>
        <v>Accuracy Class</v>
      </c>
      <c r="K3" s="1"/>
      <c r="L3" s="1"/>
      <c r="M3" s="1" t="s">
        <v>4</v>
      </c>
      <c r="N3" s="1"/>
      <c r="O3" s="4"/>
      <c r="P3" s="5"/>
      <c r="Q3" s="4"/>
      <c r="R3" s="1"/>
      <c r="S3" s="1"/>
      <c r="T3" s="1"/>
      <c r="U3" s="1"/>
      <c r="V3" s="1"/>
      <c r="W3" s="1"/>
      <c r="X3" s="1"/>
      <c r="Y3" s="1"/>
      <c r="Z3" s="1"/>
      <c r="AA3" s="1"/>
      <c r="AB3" s="1"/>
      <c r="AC3" s="1"/>
      <c r="AD3" s="1"/>
      <c r="AE3" s="1"/>
      <c r="AF3" s="1"/>
      <c r="AG3" s="1"/>
      <c r="AH3" s="1"/>
      <c r="AI3" s="1"/>
      <c r="AJ3" s="1"/>
    </row>
    <row r="4" spans="1:36" ht="12" customHeight="1">
      <c r="A4" s="209"/>
      <c r="B4" s="209"/>
      <c r="C4" s="209"/>
      <c r="D4" s="208"/>
      <c r="E4" s="208"/>
      <c r="F4" s="208"/>
      <c r="G4" s="1"/>
      <c r="H4" s="1"/>
      <c r="I4" s="1"/>
      <c r="J4" s="1"/>
      <c r="K4" s="1"/>
      <c r="L4" s="1"/>
      <c r="M4" s="1"/>
      <c r="N4" s="1"/>
      <c r="O4" s="1"/>
      <c r="P4" s="6"/>
      <c r="Q4" s="1"/>
      <c r="R4" s="1" t="s">
        <v>0</v>
      </c>
      <c r="S4" s="7" t="s">
        <v>5</v>
      </c>
      <c r="T4" s="1"/>
      <c r="U4" s="6"/>
      <c r="V4" s="8"/>
      <c r="W4" s="8"/>
      <c r="X4" s="1"/>
      <c r="Y4" s="1" t="s">
        <v>6</v>
      </c>
      <c r="Z4" s="1"/>
      <c r="AA4" s="1"/>
      <c r="AB4" s="1"/>
      <c r="AC4" s="1"/>
      <c r="AD4" s="1"/>
      <c r="AE4" s="1"/>
      <c r="AF4" s="1"/>
      <c r="AG4" s="1"/>
      <c r="AH4" s="1"/>
      <c r="AI4" s="1"/>
      <c r="AJ4" s="1"/>
    </row>
    <row r="5" spans="1:36" ht="12" customHeight="1">
      <c r="A5" s="211"/>
      <c r="B5" s="212"/>
      <c r="C5" s="212"/>
      <c r="D5" s="213"/>
      <c r="E5" s="213"/>
      <c r="F5" s="213"/>
      <c r="G5" s="205"/>
      <c r="H5" s="205"/>
      <c r="I5" s="1"/>
      <c r="J5" s="1"/>
      <c r="K5" s="9" t="str">
        <f>IF($D$14="English","Test Date:","Testdatum")</f>
        <v>Test Date:</v>
      </c>
      <c r="L5" s="243"/>
      <c r="M5" s="215"/>
      <c r="N5" s="215"/>
      <c r="O5" s="215"/>
      <c r="P5" s="215"/>
      <c r="Q5" s="216"/>
      <c r="R5" s="1"/>
      <c r="S5" s="10" t="s">
        <v>7</v>
      </c>
      <c r="T5" s="1"/>
      <c r="U5" s="6"/>
      <c r="V5" s="8"/>
      <c r="W5" s="8"/>
      <c r="X5" s="1"/>
      <c r="Y5" s="1"/>
      <c r="Z5" s="1"/>
      <c r="AA5" s="1"/>
      <c r="AB5" s="1"/>
      <c r="AC5" s="1"/>
      <c r="AD5" s="1"/>
      <c r="AE5" s="1"/>
      <c r="AF5" s="1"/>
      <c r="AG5" s="1"/>
      <c r="AH5" s="1"/>
      <c r="AI5" s="1"/>
      <c r="AJ5" s="1"/>
    </row>
    <row r="6" spans="1:36" ht="12" customHeight="1">
      <c r="A6" s="205"/>
      <c r="B6" s="205"/>
      <c r="C6" s="210" t="str">
        <f>IF($D$14="English","Part No.:","Modell Nr.")</f>
        <v>Part No.:</v>
      </c>
      <c r="D6" s="244"/>
      <c r="E6" s="245"/>
      <c r="F6" s="245"/>
      <c r="G6" s="245"/>
      <c r="H6" s="246"/>
      <c r="I6" s="1"/>
      <c r="J6" s="1"/>
      <c r="K6" s="9" t="str">
        <f>IF($D$14="English","Test Officer:","RVO")</f>
        <v>Test Officer:</v>
      </c>
      <c r="L6" s="214"/>
      <c r="M6" s="215"/>
      <c r="N6" s="215"/>
      <c r="O6" s="215"/>
      <c r="P6" s="215"/>
      <c r="Q6" s="216"/>
      <c r="R6" s="1"/>
      <c r="S6" s="234" t="s">
        <v>8</v>
      </c>
      <c r="T6" s="223"/>
      <c r="U6" s="220"/>
      <c r="V6" s="1"/>
      <c r="W6" s="1"/>
      <c r="X6" s="1"/>
      <c r="Y6" s="1"/>
      <c r="Z6" s="1"/>
      <c r="AA6" s="1"/>
      <c r="AB6" s="1"/>
      <c r="AC6" s="1"/>
      <c r="AD6" s="1"/>
      <c r="AE6" s="1"/>
      <c r="AF6" s="1"/>
      <c r="AG6" s="1"/>
      <c r="AH6" s="1"/>
      <c r="AI6" s="1"/>
      <c r="AJ6" s="1"/>
    </row>
    <row r="7" spans="1:36" ht="12" customHeight="1">
      <c r="G7" s="1"/>
      <c r="H7" s="1"/>
      <c r="I7" s="1"/>
      <c r="J7" s="1"/>
      <c r="K7" s="9" t="str">
        <f>IF($D$14="English","Scale No.","Waagen S/N.")</f>
        <v>Scale No.</v>
      </c>
      <c r="L7" s="214"/>
      <c r="M7" s="215"/>
      <c r="N7" s="215"/>
      <c r="O7" s="215"/>
      <c r="P7" s="215"/>
      <c r="Q7" s="216"/>
      <c r="R7" s="1"/>
      <c r="S7" s="1" t="s">
        <v>9</v>
      </c>
      <c r="T7" s="1"/>
      <c r="U7" s="1"/>
      <c r="V7" s="1"/>
      <c r="W7" s="1"/>
      <c r="X7" s="1"/>
      <c r="Y7" s="1"/>
      <c r="Z7" s="1"/>
      <c r="AA7" s="1"/>
      <c r="AB7" s="1"/>
      <c r="AC7" s="1"/>
      <c r="AD7" s="1"/>
      <c r="AE7" s="1"/>
      <c r="AF7" s="1"/>
      <c r="AG7" s="1"/>
      <c r="AH7" s="1"/>
      <c r="AI7" s="1"/>
      <c r="AJ7" s="1"/>
    </row>
    <row r="8" spans="1:36" ht="12" customHeight="1">
      <c r="G8" s="1"/>
      <c r="H8" s="1"/>
      <c r="I8" s="1"/>
      <c r="J8" s="1"/>
      <c r="K8" s="9" t="str">
        <f>IF($D$14="English","Indicator S/N.","Waagen S/N.")</f>
        <v>Indicator S/N.</v>
      </c>
      <c r="L8" s="214"/>
      <c r="M8" s="215"/>
      <c r="N8" s="215"/>
      <c r="O8" s="215"/>
      <c r="P8" s="215"/>
      <c r="Q8" s="216"/>
      <c r="R8" s="1"/>
      <c r="S8" s="1" t="s">
        <v>9</v>
      </c>
      <c r="T8" s="1"/>
      <c r="U8" s="1"/>
      <c r="V8" s="1"/>
      <c r="W8" s="1"/>
      <c r="X8" s="1"/>
      <c r="Y8" s="1"/>
      <c r="Z8" s="1"/>
      <c r="AA8" s="1"/>
      <c r="AB8" s="1"/>
      <c r="AC8" s="1"/>
      <c r="AD8" s="1"/>
      <c r="AE8" s="1"/>
      <c r="AF8" s="1"/>
      <c r="AG8" s="1"/>
      <c r="AH8" s="1"/>
      <c r="AI8" s="1"/>
      <c r="AJ8" s="1"/>
    </row>
    <row r="9" spans="1:36" ht="12" customHeight="1">
      <c r="A9" s="1"/>
      <c r="B9" s="1"/>
      <c r="C9" s="6" t="s">
        <v>10</v>
      </c>
      <c r="D9" s="241"/>
      <c r="E9" s="216"/>
      <c r="F9" s="1" t="s">
        <v>11</v>
      </c>
      <c r="G9" s="1"/>
      <c r="H9" s="1"/>
      <c r="I9" s="1"/>
      <c r="J9" s="1"/>
      <c r="K9" s="9" t="str">
        <f>IF($D$14="English","TAC(Type Approval Certificate) Indicator","Bauartzulassung Wägeelektronik")</f>
        <v>TAC(Type Approval Certificate) Indicator</v>
      </c>
      <c r="L9" s="214"/>
      <c r="M9" s="215"/>
      <c r="N9" s="215"/>
      <c r="O9" s="215"/>
      <c r="P9" s="215"/>
      <c r="Q9" s="216"/>
      <c r="R9" s="1"/>
      <c r="S9" s="234" t="s">
        <v>12</v>
      </c>
      <c r="T9" s="223"/>
      <c r="U9" s="220"/>
      <c r="V9" s="1"/>
      <c r="W9" s="1"/>
      <c r="X9" s="1"/>
      <c r="Y9" s="1"/>
      <c r="Z9" s="1"/>
      <c r="AA9" s="1"/>
      <c r="AB9" s="1"/>
      <c r="AC9" s="1"/>
      <c r="AD9" s="1"/>
      <c r="AE9" s="1"/>
      <c r="AF9" s="1"/>
      <c r="AG9" s="1"/>
      <c r="AH9" s="1"/>
      <c r="AI9" s="1"/>
      <c r="AJ9" s="1"/>
    </row>
    <row r="10" spans="1:36" ht="12" customHeight="1">
      <c r="A10" s="1"/>
      <c r="B10" s="1"/>
      <c r="C10" s="6" t="s">
        <v>13</v>
      </c>
      <c r="D10" s="241"/>
      <c r="E10" s="216"/>
      <c r="F10" s="1" t="s">
        <v>11</v>
      </c>
      <c r="G10" s="1"/>
      <c r="H10" s="1"/>
      <c r="I10" s="1"/>
      <c r="J10" s="1"/>
      <c r="K10" s="9" t="str">
        <f>IF($D$14="English","Firmware type and version:","Wägeelektronik Programm und Version")</f>
        <v>Firmware type and version:</v>
      </c>
      <c r="L10" s="214"/>
      <c r="M10" s="215"/>
      <c r="N10" s="215"/>
      <c r="O10" s="215"/>
      <c r="P10" s="215"/>
      <c r="Q10" s="216"/>
      <c r="R10" s="1"/>
      <c r="S10" s="1"/>
      <c r="T10" s="1"/>
      <c r="U10" s="1"/>
      <c r="V10" s="1"/>
      <c r="W10" s="1"/>
      <c r="X10" s="1"/>
      <c r="Y10" s="1"/>
      <c r="Z10" s="1"/>
      <c r="AA10" s="1"/>
      <c r="AB10" s="1"/>
      <c r="AC10" s="1"/>
      <c r="AD10" s="1"/>
      <c r="AE10" s="1"/>
      <c r="AF10" s="1"/>
      <c r="AG10" s="1"/>
      <c r="AH10" s="1"/>
      <c r="AI10" s="1"/>
      <c r="AJ10" s="1"/>
    </row>
    <row r="11" spans="1:36" ht="12.75" customHeight="1">
      <c r="A11" s="1"/>
      <c r="B11" s="1"/>
      <c r="C11" s="6" t="s">
        <v>14</v>
      </c>
      <c r="D11" s="242"/>
      <c r="E11" s="216"/>
      <c r="F11" s="1" t="s">
        <v>11</v>
      </c>
      <c r="G11" s="1"/>
      <c r="H11" s="6"/>
      <c r="I11" s="6"/>
      <c r="J11" s="6"/>
      <c r="K11" s="6"/>
      <c r="L11" s="6"/>
      <c r="M11" s="9" t="str">
        <f>IF($D$14="English","Test Weight Calibrations Current?","Standardgewichte kalibriert?")</f>
        <v>Test Weight Calibrations Current?</v>
      </c>
      <c r="N11" s="169"/>
      <c r="O11" s="1"/>
      <c r="P11" s="1"/>
      <c r="Q11" s="1"/>
      <c r="R11" s="1"/>
      <c r="S11" s="1"/>
      <c r="T11" s="1"/>
      <c r="U11" s="1"/>
      <c r="V11" s="1"/>
      <c r="W11" s="1"/>
      <c r="X11" s="1"/>
      <c r="Y11" s="1"/>
      <c r="Z11" s="1"/>
      <c r="AA11" s="1"/>
      <c r="AB11" s="1"/>
      <c r="AC11" s="1"/>
      <c r="AD11" s="1"/>
      <c r="AE11" s="1"/>
      <c r="AF11" s="1"/>
      <c r="AG11" s="1"/>
      <c r="AH11" s="1"/>
      <c r="AI11" s="1"/>
      <c r="AJ11" s="1"/>
    </row>
    <row r="12" spans="1:36" ht="12" customHeight="1">
      <c r="A12" s="1"/>
      <c r="B12" s="1"/>
      <c r="C12" s="6" t="s">
        <v>15</v>
      </c>
      <c r="D12" s="242"/>
      <c r="E12" s="216"/>
      <c r="F12" s="1" t="s">
        <v>11</v>
      </c>
      <c r="G12" s="1"/>
      <c r="H12" s="1"/>
      <c r="K12" s="9" t="str">
        <f>IF($D$14="English","Set-No. of Standard-Weights in use","Set-Nr. der Standardgewichte")</f>
        <v>Set-No. of Standard-Weights in use</v>
      </c>
      <c r="L12" s="247"/>
      <c r="M12" s="248"/>
      <c r="N12" s="248"/>
      <c r="O12" s="248"/>
      <c r="P12" s="248"/>
      <c r="Q12" s="249"/>
      <c r="R12" s="1" t="s">
        <v>0</v>
      </c>
      <c r="S12" s="7" t="s">
        <v>16</v>
      </c>
      <c r="T12" s="1"/>
      <c r="U12" s="6"/>
      <c r="V12" s="8"/>
      <c r="W12" s="8"/>
      <c r="X12" s="1"/>
      <c r="Y12" s="1" t="s">
        <v>17</v>
      </c>
      <c r="Z12" s="1"/>
      <c r="AA12" s="1"/>
      <c r="AB12" s="1"/>
      <c r="AC12" s="1"/>
      <c r="AD12" s="1"/>
      <c r="AE12" s="1"/>
      <c r="AF12" s="1"/>
      <c r="AG12" s="1"/>
      <c r="AH12" s="1"/>
      <c r="AI12" s="1"/>
      <c r="AJ12" s="1"/>
    </row>
    <row r="13" spans="1:36" ht="12" customHeight="1">
      <c r="A13" s="7"/>
      <c r="B13" s="1"/>
      <c r="C13" s="1"/>
      <c r="D13" s="1"/>
      <c r="E13" s="1"/>
      <c r="F13" s="1"/>
      <c r="G13" s="6"/>
      <c r="H13" s="12" t="s">
        <v>18</v>
      </c>
      <c r="I13" s="254" t="str">
        <f>IF($D$11=0," ",$D$9/$D$11)</f>
        <v xml:space="preserve"> </v>
      </c>
      <c r="J13" s="237"/>
      <c r="L13" s="250"/>
      <c r="M13" s="251"/>
      <c r="N13" s="251"/>
      <c r="O13" s="251"/>
      <c r="P13" s="251"/>
      <c r="Q13" s="252"/>
      <c r="R13" s="1"/>
      <c r="S13" s="234" t="s">
        <v>8</v>
      </c>
      <c r="T13" s="223"/>
      <c r="U13" s="220"/>
      <c r="V13" s="1"/>
      <c r="W13" s="1"/>
      <c r="X13" s="1"/>
      <c r="Y13" s="1"/>
      <c r="Z13" s="1"/>
      <c r="AA13" s="1"/>
      <c r="AB13" s="1"/>
      <c r="AC13" s="1"/>
      <c r="AD13" s="1"/>
      <c r="AE13" s="1"/>
      <c r="AF13" s="1"/>
      <c r="AG13" s="1"/>
      <c r="AH13" s="1"/>
      <c r="AI13" s="1"/>
      <c r="AJ13" s="1"/>
    </row>
    <row r="14" spans="1:36" ht="12" customHeight="1">
      <c r="A14" s="14" t="s">
        <v>19</v>
      </c>
      <c r="B14" s="1"/>
      <c r="C14" s="1"/>
      <c r="D14" s="15" t="s">
        <v>0</v>
      </c>
      <c r="E14" s="16"/>
      <c r="F14" s="1"/>
      <c r="G14" s="6"/>
      <c r="H14" s="12" t="s">
        <v>20</v>
      </c>
      <c r="I14" s="254" t="str">
        <f>IF($D$12=0," ",$D$10/$D$12)</f>
        <v xml:space="preserve"> </v>
      </c>
      <c r="J14" s="237"/>
      <c r="K14" s="1"/>
      <c r="L14" s="1"/>
      <c r="M14" s="1"/>
      <c r="N14" s="1"/>
      <c r="O14" s="1"/>
      <c r="P14" s="1"/>
      <c r="Q14" s="1"/>
      <c r="R14" s="1" t="s">
        <v>2</v>
      </c>
      <c r="S14" s="7" t="s">
        <v>21</v>
      </c>
      <c r="T14" s="1"/>
      <c r="U14" s="1"/>
      <c r="V14" s="1"/>
      <c r="W14" s="1"/>
      <c r="X14" s="1"/>
      <c r="Y14" s="1"/>
      <c r="Z14" s="1"/>
      <c r="AA14" s="1"/>
      <c r="AB14" s="1"/>
      <c r="AC14" s="1"/>
      <c r="AD14" s="1"/>
      <c r="AE14" s="1"/>
      <c r="AF14" s="1"/>
      <c r="AG14" s="1"/>
      <c r="AH14" s="1"/>
      <c r="AI14" s="1"/>
      <c r="AJ14" s="1"/>
    </row>
    <row r="15" spans="1:36" ht="12" customHeight="1">
      <c r="A15" s="1"/>
      <c r="B15" s="1"/>
      <c r="C15" s="1"/>
      <c r="D15" s="1"/>
      <c r="E15" s="1"/>
      <c r="F15" s="1"/>
      <c r="G15" s="6"/>
      <c r="H15" s="12"/>
      <c r="I15" s="13"/>
      <c r="J15" s="13"/>
      <c r="K15" s="6" t="str">
        <f>IF($D$14="English","Set-No. Small Weights in use","Set-Nr. der kleinen Gewichte")</f>
        <v>Set-No. Small Weights in use</v>
      </c>
      <c r="L15" s="247"/>
      <c r="M15" s="248"/>
      <c r="N15" s="248"/>
      <c r="O15" s="248"/>
      <c r="P15" s="248"/>
      <c r="Q15" s="249"/>
      <c r="R15" s="1"/>
      <c r="S15" s="7"/>
      <c r="T15" s="1"/>
      <c r="U15" s="1"/>
      <c r="V15" s="1"/>
      <c r="W15" s="1"/>
      <c r="X15" s="1"/>
      <c r="Y15" s="1"/>
      <c r="Z15" s="1"/>
      <c r="AA15" s="1"/>
      <c r="AB15" s="1"/>
      <c r="AC15" s="1"/>
      <c r="AD15" s="1"/>
      <c r="AE15" s="1"/>
      <c r="AF15" s="1"/>
      <c r="AG15" s="1"/>
      <c r="AH15" s="1"/>
      <c r="AI15" s="1"/>
      <c r="AJ15" s="1"/>
    </row>
    <row r="16" spans="1:36" ht="12" customHeight="1">
      <c r="A16" s="1"/>
      <c r="B16" s="1"/>
      <c r="C16" s="1"/>
      <c r="D16" s="1"/>
      <c r="E16" s="1"/>
      <c r="F16" s="1"/>
      <c r="G16" s="6"/>
      <c r="H16" s="12"/>
      <c r="I16" s="13"/>
      <c r="J16" s="13"/>
      <c r="K16" s="1"/>
      <c r="L16" s="250"/>
      <c r="M16" s="251"/>
      <c r="N16" s="251"/>
      <c r="O16" s="251"/>
      <c r="P16" s="251"/>
      <c r="Q16" s="252"/>
      <c r="R16" s="1"/>
      <c r="S16" s="7"/>
      <c r="T16" s="1"/>
      <c r="U16" s="1"/>
      <c r="V16" s="1"/>
      <c r="W16" s="1"/>
      <c r="X16" s="1"/>
      <c r="Y16" s="1"/>
      <c r="Z16" s="1"/>
      <c r="AA16" s="1"/>
      <c r="AB16" s="1"/>
      <c r="AC16" s="1"/>
      <c r="AD16" s="1"/>
      <c r="AE16" s="1"/>
      <c r="AF16" s="1"/>
      <c r="AG16" s="1"/>
      <c r="AH16" s="1"/>
      <c r="AI16" s="1"/>
      <c r="AJ16" s="1"/>
    </row>
    <row r="17" spans="1:36" ht="17.25" customHeight="1">
      <c r="A17" s="7" t="str">
        <f>IF($D$14="English","Load Cell","Wägezelle")</f>
        <v>Load Cell</v>
      </c>
      <c r="B17" s="1"/>
      <c r="C17" s="1" t="str">
        <f>IF($D$14="English","Manufacturer","Hersteller")</f>
        <v>Manufacturer</v>
      </c>
      <c r="D17" s="1"/>
      <c r="E17" s="240"/>
      <c r="F17" s="215"/>
      <c r="G17" s="215"/>
      <c r="H17" s="216"/>
      <c r="I17" s="1" t="s">
        <v>22</v>
      </c>
      <c r="J17" s="253"/>
      <c r="K17" s="216"/>
      <c r="L17" s="1" t="str">
        <f>IF($D$14="English","Total number:","Gesamtanzahl:")</f>
        <v>Total number:</v>
      </c>
      <c r="M17" s="6"/>
      <c r="N17" s="6"/>
      <c r="O17" s="1"/>
      <c r="P17" s="253"/>
      <c r="Q17" s="216"/>
      <c r="R17" s="1"/>
      <c r="S17" s="234" t="s">
        <v>12</v>
      </c>
      <c r="T17" s="223"/>
      <c r="U17" s="220"/>
      <c r="V17" s="1"/>
      <c r="W17" s="1"/>
      <c r="X17" s="1"/>
      <c r="Y17" s="1" t="s">
        <v>23</v>
      </c>
      <c r="Z17" s="1"/>
      <c r="AA17" s="1"/>
      <c r="AB17" s="1"/>
      <c r="AC17" s="1"/>
      <c r="AD17" s="1"/>
      <c r="AE17" s="1"/>
      <c r="AF17" s="1"/>
      <c r="AG17" s="1"/>
      <c r="AH17" s="1"/>
      <c r="AI17" s="1"/>
      <c r="AJ17" s="1"/>
    </row>
    <row r="18" spans="1:36" ht="12" customHeight="1">
      <c r="A18" s="1"/>
      <c r="B18" s="1"/>
      <c r="C18" s="1"/>
      <c r="D18" s="1"/>
      <c r="E18" s="1"/>
      <c r="F18" s="1"/>
      <c r="G18" s="6"/>
      <c r="J18" s="17"/>
      <c r="K18" s="1"/>
      <c r="L18" s="1"/>
      <c r="M18" s="1"/>
      <c r="N18" s="1"/>
      <c r="O18" s="1"/>
      <c r="P18" s="1"/>
      <c r="Q18" s="1"/>
      <c r="R18" s="1"/>
      <c r="S18" s="1"/>
      <c r="T18" s="1"/>
      <c r="U18" s="1"/>
      <c r="V18" s="1"/>
      <c r="W18" s="1"/>
      <c r="X18" s="1"/>
      <c r="Y18" s="1"/>
      <c r="Z18" s="1"/>
      <c r="AA18" s="1"/>
      <c r="AB18" s="1"/>
      <c r="AC18" s="1"/>
      <c r="AD18" s="1"/>
      <c r="AE18" s="1"/>
      <c r="AF18" s="1"/>
      <c r="AG18" s="1"/>
      <c r="AH18" s="1"/>
      <c r="AI18" s="1"/>
      <c r="AJ18" s="1"/>
    </row>
    <row r="19" spans="1:36" ht="12" customHeight="1">
      <c r="A19" s="7" t="str">
        <f>IF($D$14="English","1. Repeatability Test (indicator in hi-res mode):","1. Prüfung der Wiederholbarkeit (Indikator in Hi-Res-Modus):")</f>
        <v>1. Repeatability Test (indicator in hi-res mode):</v>
      </c>
      <c r="B19" s="1"/>
      <c r="C19" s="6"/>
      <c r="D19" s="8"/>
      <c r="E19" s="8"/>
      <c r="F19" s="1"/>
      <c r="G19" s="1"/>
      <c r="H19" s="1" t="str">
        <f>IF($D$14="English","accordance to EN45501-2015, A.4.10","gemäß EN45501-2015, A.4.10")</f>
        <v>accordance to EN45501-2015, A.4.10</v>
      </c>
      <c r="I19" s="1"/>
      <c r="J19" s="1"/>
      <c r="K19" s="6"/>
      <c r="L19" s="6"/>
      <c r="M19" s="6"/>
      <c r="N19" s="1"/>
      <c r="O19" s="1"/>
      <c r="P19" s="1"/>
      <c r="Q19" s="1"/>
      <c r="R19" s="1"/>
      <c r="S19" s="1"/>
      <c r="T19" s="1"/>
      <c r="U19" s="1"/>
      <c r="V19" s="1"/>
      <c r="W19" s="1"/>
      <c r="X19" s="1"/>
      <c r="Y19" s="1"/>
      <c r="Z19" s="1"/>
      <c r="AA19" s="1"/>
      <c r="AB19" s="1"/>
      <c r="AC19" s="1"/>
      <c r="AD19" s="1"/>
      <c r="AE19" s="1"/>
      <c r="AF19" s="1"/>
      <c r="AG19" s="1"/>
      <c r="AH19" s="1"/>
      <c r="AI19" s="1"/>
      <c r="AJ19" s="1"/>
    </row>
    <row r="20" spans="1:36" ht="12" customHeight="1">
      <c r="A20" s="1" t="str">
        <f>IF($D$14="English","* The zero tracking device may be in operation for the repeatability test.","* Die Nullnachführung darf bei der Prüfung der Wiederholbarkeit eingeschaltet sein")</f>
        <v>* The zero tracking device may be in operation for the repeatability test.</v>
      </c>
      <c r="B20" s="1"/>
      <c r="C20" s="6"/>
      <c r="D20" s="8"/>
      <c r="E20" s="8"/>
      <c r="F20" s="1"/>
      <c r="G20" s="1"/>
      <c r="H20" s="1"/>
      <c r="I20" s="1"/>
      <c r="J20" s="1"/>
      <c r="K20" s="6"/>
      <c r="L20" s="6"/>
      <c r="M20" s="6"/>
      <c r="N20" s="1"/>
      <c r="O20" s="1"/>
      <c r="P20" s="1"/>
      <c r="Q20" s="1"/>
      <c r="R20" s="1" t="s">
        <v>0</v>
      </c>
      <c r="S20" s="7" t="s">
        <v>24</v>
      </c>
      <c r="T20" s="1"/>
      <c r="U20" s="6"/>
      <c r="V20" s="8"/>
      <c r="W20" s="8"/>
      <c r="X20" s="1" t="s">
        <v>25</v>
      </c>
      <c r="Y20" s="1"/>
      <c r="Z20" s="1"/>
      <c r="AA20" s="1"/>
      <c r="AB20" s="1"/>
      <c r="AC20" s="1"/>
      <c r="AD20" s="1"/>
      <c r="AE20" s="1"/>
      <c r="AF20" s="1"/>
      <c r="AG20" s="1"/>
      <c r="AH20" s="1"/>
      <c r="AI20" s="1"/>
      <c r="AJ20" s="1"/>
    </row>
    <row r="21" spans="1:36" ht="12" customHeight="1">
      <c r="A21" s="234" t="str">
        <f>IF($D$14="English","load must be about","ungefähre Last")</f>
        <v>load must be about</v>
      </c>
      <c r="B21" s="223"/>
      <c r="C21" s="220"/>
      <c r="D21" s="231" t="s">
        <v>26</v>
      </c>
      <c r="E21" s="223"/>
      <c r="F21" s="220"/>
      <c r="G21" s="231" t="s">
        <v>27</v>
      </c>
      <c r="H21" s="220"/>
      <c r="I21" s="231" t="s">
        <v>28</v>
      </c>
      <c r="J21" s="220"/>
      <c r="K21" s="231" t="s">
        <v>29</v>
      </c>
      <c r="L21" s="220"/>
      <c r="M21" s="19" t="s">
        <v>30</v>
      </c>
      <c r="S21" s="7"/>
      <c r="T21" s="1" t="s">
        <v>31</v>
      </c>
      <c r="U21" s="1"/>
      <c r="V21" s="1"/>
      <c r="W21" s="1"/>
      <c r="X21" s="1"/>
      <c r="Y21" s="1"/>
      <c r="Z21" s="1"/>
      <c r="AA21" s="1"/>
      <c r="AB21" s="1"/>
      <c r="AC21" s="1"/>
      <c r="AD21" s="1"/>
      <c r="AE21" s="1"/>
      <c r="AF21" s="1"/>
      <c r="AG21" s="1"/>
      <c r="AH21" s="1"/>
      <c r="AI21" s="1"/>
      <c r="AJ21" s="1"/>
    </row>
    <row r="22" spans="1:36" ht="12" customHeight="1">
      <c r="A22" s="19" t="s">
        <v>32</v>
      </c>
      <c r="B22" s="239" t="s">
        <v>33</v>
      </c>
      <c r="C22" s="220"/>
      <c r="D22" s="19" t="s">
        <v>32</v>
      </c>
      <c r="E22" s="239" t="s">
        <v>33</v>
      </c>
      <c r="F22" s="220"/>
      <c r="G22" s="231" t="s">
        <v>33</v>
      </c>
      <c r="H22" s="220"/>
      <c r="I22" s="231" t="s">
        <v>33</v>
      </c>
      <c r="J22" s="223"/>
      <c r="K22" s="19" t="s">
        <v>33</v>
      </c>
      <c r="L22" s="21" t="s">
        <v>32</v>
      </c>
      <c r="M22" s="19" t="s">
        <v>34</v>
      </c>
      <c r="N22" s="22"/>
      <c r="R22" s="23" t="s">
        <v>2</v>
      </c>
      <c r="S22" s="7" t="s">
        <v>35</v>
      </c>
      <c r="U22" s="1"/>
      <c r="V22" s="1"/>
      <c r="W22" s="1"/>
      <c r="X22" s="1"/>
      <c r="Y22" s="1"/>
      <c r="Z22" s="1"/>
      <c r="AA22" s="1"/>
      <c r="AB22" s="1"/>
      <c r="AC22" s="1"/>
      <c r="AD22" s="1"/>
      <c r="AE22" s="1"/>
      <c r="AF22" s="1"/>
      <c r="AG22" s="1"/>
      <c r="AH22" s="1"/>
      <c r="AI22" s="1"/>
      <c r="AJ22" s="1"/>
    </row>
    <row r="23" spans="1:36" ht="12" customHeight="1">
      <c r="A23" s="24" t="str">
        <f t="shared" ref="A23:A25" si="0">IF($D$11=0," ",0.8*$D$9/$D$11)</f>
        <v xml:space="preserve"> </v>
      </c>
      <c r="B23" s="238">
        <f t="shared" ref="B23:B25" si="1">0.8*$D$9</f>
        <v>0</v>
      </c>
      <c r="C23" s="220"/>
      <c r="D23" s="24" t="str">
        <f t="shared" ref="D23:D25" si="2">IF($D$11=0," ",E23/$D$11)</f>
        <v xml:space="preserve"> </v>
      </c>
      <c r="E23" s="230"/>
      <c r="F23" s="216"/>
      <c r="G23" s="229"/>
      <c r="H23" s="216"/>
      <c r="I23" s="221" t="str">
        <f t="shared" ref="I23:I25" si="3">IF(G23=0," ",ROUND((ABS(G23-E23)),4))</f>
        <v xml:space="preserve"> </v>
      </c>
      <c r="J23" s="220"/>
      <c r="K23" s="25">
        <f t="shared" ref="K23:K26" si="4">L23*$D$11</f>
        <v>0</v>
      </c>
      <c r="L23" s="26">
        <f t="shared" ref="L23:L25" si="5">IF(D23=" ",0,IF(D23&lt;=500,0.5,(IF(D23&lt;=2000,1,IF(D23&gt;2000,1.5," ")))))</f>
        <v>0</v>
      </c>
      <c r="M23" s="27" t="str">
        <f t="shared" ref="M23:M30" si="6">IF(I23&lt;=K23,"Y","N")</f>
        <v>N</v>
      </c>
      <c r="N23" s="22"/>
      <c r="T23" s="1" t="s">
        <v>36</v>
      </c>
      <c r="U23" s="1"/>
      <c r="V23" s="1"/>
      <c r="W23" s="1"/>
      <c r="X23" s="1"/>
      <c r="Y23" s="1" t="s">
        <v>37</v>
      </c>
      <c r="Z23" s="1"/>
      <c r="AA23" s="1"/>
      <c r="AB23" s="1"/>
      <c r="AC23" s="1"/>
      <c r="AD23" s="1"/>
      <c r="AE23" s="1"/>
      <c r="AF23" s="1"/>
      <c r="AG23" s="1"/>
      <c r="AH23" s="1"/>
      <c r="AI23" s="1"/>
      <c r="AJ23" s="1"/>
    </row>
    <row r="24" spans="1:36" ht="12" customHeight="1">
      <c r="A24" s="24" t="str">
        <f t="shared" si="0"/>
        <v xml:space="preserve"> </v>
      </c>
      <c r="B24" s="238">
        <f t="shared" si="1"/>
        <v>0</v>
      </c>
      <c r="C24" s="220"/>
      <c r="D24" s="24" t="str">
        <f t="shared" si="2"/>
        <v xml:space="preserve"> </v>
      </c>
      <c r="E24" s="227">
        <f>E23</f>
        <v>0</v>
      </c>
      <c r="F24" s="220"/>
      <c r="G24" s="229"/>
      <c r="H24" s="216"/>
      <c r="I24" s="221" t="str">
        <f t="shared" si="3"/>
        <v xml:space="preserve"> </v>
      </c>
      <c r="J24" s="220"/>
      <c r="K24" s="25">
        <f t="shared" si="4"/>
        <v>0</v>
      </c>
      <c r="L24" s="26">
        <f t="shared" si="5"/>
        <v>0</v>
      </c>
      <c r="M24" s="27" t="str">
        <f t="shared" si="6"/>
        <v>N</v>
      </c>
      <c r="N24" s="28"/>
      <c r="O24" s="1"/>
      <c r="P24" s="1"/>
      <c r="Q24" s="1"/>
      <c r="R24" s="1"/>
      <c r="S24" s="1"/>
      <c r="T24" s="1"/>
      <c r="U24" s="1"/>
      <c r="V24" s="1"/>
      <c r="W24" s="1"/>
      <c r="X24" s="1"/>
      <c r="Y24" s="1"/>
      <c r="Z24" s="1"/>
      <c r="AA24" s="1"/>
      <c r="AB24" s="1"/>
      <c r="AC24" s="1"/>
      <c r="AD24" s="1"/>
      <c r="AE24" s="1"/>
      <c r="AF24" s="1"/>
      <c r="AG24" s="1"/>
      <c r="AH24" s="1"/>
      <c r="AI24" s="1"/>
      <c r="AJ24" s="1"/>
    </row>
    <row r="25" spans="1:36" ht="12" customHeight="1">
      <c r="A25" s="24" t="str">
        <f t="shared" si="0"/>
        <v xml:space="preserve"> </v>
      </c>
      <c r="B25" s="238">
        <f t="shared" si="1"/>
        <v>0</v>
      </c>
      <c r="C25" s="220"/>
      <c r="D25" s="24" t="str">
        <f t="shared" si="2"/>
        <v xml:space="preserve"> </v>
      </c>
      <c r="E25" s="227">
        <f>E23</f>
        <v>0</v>
      </c>
      <c r="F25" s="220"/>
      <c r="G25" s="229"/>
      <c r="H25" s="216"/>
      <c r="I25" s="221" t="str">
        <f t="shared" si="3"/>
        <v xml:space="preserve"> </v>
      </c>
      <c r="J25" s="220"/>
      <c r="K25" s="25">
        <f t="shared" si="4"/>
        <v>0</v>
      </c>
      <c r="L25" s="26">
        <f t="shared" si="5"/>
        <v>0</v>
      </c>
      <c r="M25" s="27" t="str">
        <f t="shared" si="6"/>
        <v>N</v>
      </c>
      <c r="N25" s="28"/>
      <c r="O25" s="1"/>
      <c r="P25" s="1"/>
      <c r="Q25" s="1"/>
      <c r="R25" s="1" t="s">
        <v>0</v>
      </c>
      <c r="S25" s="1" t="s">
        <v>38</v>
      </c>
      <c r="T25" s="1"/>
      <c r="U25" s="1"/>
      <c r="V25" s="1"/>
      <c r="W25" s="1"/>
      <c r="X25" s="1" t="s">
        <v>39</v>
      </c>
      <c r="Y25" s="1"/>
      <c r="Z25" s="1"/>
      <c r="AA25" s="1"/>
      <c r="AB25" s="1"/>
      <c r="AC25" s="1"/>
      <c r="AD25" s="1"/>
      <c r="AE25" s="1"/>
      <c r="AF25" s="1"/>
      <c r="AG25" s="1"/>
      <c r="AH25" s="1"/>
      <c r="AI25" s="1"/>
      <c r="AJ25" s="1"/>
    </row>
    <row r="26" spans="1:36" ht="12" customHeight="1">
      <c r="A26" s="1"/>
      <c r="B26" s="8"/>
      <c r="C26" s="8"/>
      <c r="D26" s="1"/>
      <c r="E26" s="13"/>
      <c r="F26" s="13"/>
      <c r="G26" s="231" t="s">
        <v>40</v>
      </c>
      <c r="H26" s="220"/>
      <c r="I26" s="221">
        <f>IF(G23=0,0,ROUND((MAX(G23:H25)-MIN(G23:H25)),4))</f>
        <v>0</v>
      </c>
      <c r="J26" s="220"/>
      <c r="K26" s="25">
        <f t="shared" si="4"/>
        <v>0</v>
      </c>
      <c r="L26" s="26">
        <f>IF(OR(D23=" ",D24=" ",D25=" "),0,IF(AND(D23&lt;=500,D24&lt;=500,D25&lt;=500),0.5,(IF(AND(D23&lt;=2000,D24&lt;=2000,D25&lt;=2000),1,IF(AND(D23&gt;2000,D24&gt;2000,D25&gt;2000),1.5," ")))))</f>
        <v>0</v>
      </c>
      <c r="M26" s="27" t="str">
        <f t="shared" si="6"/>
        <v>Y</v>
      </c>
      <c r="N26" s="1"/>
      <c r="O26" s="1"/>
      <c r="P26" s="1"/>
      <c r="Q26" s="1"/>
      <c r="R26" s="1"/>
      <c r="S26" s="236" t="s">
        <v>41</v>
      </c>
      <c r="T26" s="237"/>
      <c r="U26" s="237"/>
      <c r="V26" s="237"/>
      <c r="W26" s="237"/>
      <c r="X26" s="237"/>
      <c r="Y26" s="1"/>
      <c r="Z26" s="1"/>
      <c r="AA26" s="1"/>
      <c r="AB26" s="1"/>
      <c r="AC26" s="1"/>
      <c r="AD26" s="1"/>
      <c r="AE26" s="1"/>
      <c r="AF26" s="1"/>
      <c r="AG26" s="1"/>
      <c r="AH26" s="1"/>
      <c r="AI26" s="1"/>
      <c r="AJ26" s="1"/>
    </row>
    <row r="27" spans="1:36" ht="12" customHeight="1">
      <c r="A27" s="24" t="str">
        <f t="shared" ref="A27:A29" si="7">IF($D$11=0," ",0.8*$D$10/$D$12)</f>
        <v xml:space="preserve"> </v>
      </c>
      <c r="B27" s="238">
        <f t="shared" ref="B27:B29" si="8">0.8*$D$10</f>
        <v>0</v>
      </c>
      <c r="C27" s="220"/>
      <c r="D27" s="24" t="str">
        <f t="shared" ref="D27:D29" si="9">IF($D$12=0," ",E27/$D$12)</f>
        <v xml:space="preserve"> </v>
      </c>
      <c r="E27" s="230"/>
      <c r="F27" s="216"/>
      <c r="G27" s="229"/>
      <c r="H27" s="216"/>
      <c r="I27" s="221" t="str">
        <f t="shared" ref="I27:I29" si="10">IF(G27=0," ",ROUND((ABS(G27-E27)),4))</f>
        <v xml:space="preserve"> </v>
      </c>
      <c r="J27" s="220"/>
      <c r="K27" s="25">
        <f t="shared" ref="K27:K30" si="11">L27*$D$12</f>
        <v>0</v>
      </c>
      <c r="L27" s="26">
        <f t="shared" ref="L27:L29" si="12">IF(D27=" ",0,IF(D27&lt;=500,0.5,(IF(D27&lt;=2000,1,IF(D27&gt;2000,1.5," ")))))</f>
        <v>0</v>
      </c>
      <c r="M27" s="27" t="str">
        <f t="shared" si="6"/>
        <v>N</v>
      </c>
      <c r="N27" s="1"/>
      <c r="O27" s="1"/>
      <c r="P27" s="1"/>
      <c r="Q27" s="1"/>
      <c r="R27" s="1"/>
      <c r="S27" s="237"/>
      <c r="T27" s="237"/>
      <c r="U27" s="237"/>
      <c r="V27" s="237"/>
      <c r="W27" s="237"/>
      <c r="X27" s="237"/>
      <c r="Y27" s="1"/>
      <c r="Z27" s="9" t="s">
        <v>42</v>
      </c>
      <c r="AA27" s="1"/>
      <c r="AB27" s="1"/>
      <c r="AC27" s="1"/>
      <c r="AD27" s="1"/>
      <c r="AE27" s="1"/>
      <c r="AF27" s="1"/>
      <c r="AG27" s="1"/>
      <c r="AH27" s="1"/>
      <c r="AI27" s="1"/>
      <c r="AJ27" s="1"/>
    </row>
    <row r="28" spans="1:36" ht="12" customHeight="1">
      <c r="A28" s="24" t="str">
        <f t="shared" si="7"/>
        <v xml:space="preserve"> </v>
      </c>
      <c r="B28" s="238">
        <f t="shared" si="8"/>
        <v>0</v>
      </c>
      <c r="C28" s="220"/>
      <c r="D28" s="24" t="str">
        <f t="shared" si="9"/>
        <v xml:space="preserve"> </v>
      </c>
      <c r="E28" s="227">
        <f>E27</f>
        <v>0</v>
      </c>
      <c r="F28" s="220"/>
      <c r="G28" s="229"/>
      <c r="H28" s="216"/>
      <c r="I28" s="221" t="str">
        <f t="shared" si="10"/>
        <v xml:space="preserve"> </v>
      </c>
      <c r="J28" s="220"/>
      <c r="K28" s="25">
        <f t="shared" si="11"/>
        <v>0</v>
      </c>
      <c r="L28" s="26">
        <f t="shared" si="12"/>
        <v>0</v>
      </c>
      <c r="M28" s="27" t="str">
        <f t="shared" si="6"/>
        <v>N</v>
      </c>
      <c r="N28" s="28"/>
      <c r="O28" s="1"/>
      <c r="P28" s="1"/>
      <c r="Q28" s="1"/>
      <c r="R28" s="23" t="s">
        <v>2</v>
      </c>
      <c r="S28" s="1" t="s">
        <v>43</v>
      </c>
      <c r="T28" s="1"/>
      <c r="U28" s="1"/>
      <c r="V28" s="1"/>
      <c r="W28" s="1"/>
      <c r="X28" s="14" t="s">
        <v>44</v>
      </c>
      <c r="Y28" s="14"/>
      <c r="Z28" s="14"/>
      <c r="AA28" s="14"/>
      <c r="AB28" s="14"/>
      <c r="AC28" s="1"/>
      <c r="AD28" s="1"/>
      <c r="AE28" s="1"/>
      <c r="AF28" s="1"/>
      <c r="AG28" s="1"/>
      <c r="AH28" s="1"/>
      <c r="AI28" s="1"/>
      <c r="AJ28" s="1"/>
    </row>
    <row r="29" spans="1:36" ht="12" customHeight="1">
      <c r="A29" s="24" t="str">
        <f t="shared" si="7"/>
        <v xml:space="preserve"> </v>
      </c>
      <c r="B29" s="238">
        <f t="shared" si="8"/>
        <v>0</v>
      </c>
      <c r="C29" s="220"/>
      <c r="D29" s="24" t="str">
        <f t="shared" si="9"/>
        <v xml:space="preserve"> </v>
      </c>
      <c r="E29" s="227">
        <f>E27</f>
        <v>0</v>
      </c>
      <c r="F29" s="220"/>
      <c r="G29" s="229"/>
      <c r="H29" s="216"/>
      <c r="I29" s="221" t="str">
        <f t="shared" si="10"/>
        <v xml:space="preserve"> </v>
      </c>
      <c r="J29" s="220"/>
      <c r="K29" s="25">
        <f t="shared" si="11"/>
        <v>0</v>
      </c>
      <c r="L29" s="26">
        <f t="shared" si="12"/>
        <v>0</v>
      </c>
      <c r="M29" s="27" t="str">
        <f t="shared" si="6"/>
        <v>N</v>
      </c>
      <c r="N29" s="28"/>
      <c r="O29" s="1"/>
      <c r="P29" s="1"/>
      <c r="Q29" s="1"/>
      <c r="R29" s="1"/>
      <c r="S29" s="236" t="s">
        <v>45</v>
      </c>
      <c r="T29" s="237"/>
      <c r="U29" s="237"/>
      <c r="V29" s="237"/>
      <c r="W29" s="237"/>
      <c r="X29" s="237"/>
      <c r="Y29" s="1" t="s">
        <v>46</v>
      </c>
      <c r="Z29" s="1"/>
      <c r="AA29" s="1"/>
      <c r="AB29" s="1"/>
      <c r="AC29" s="1"/>
      <c r="AD29" s="1"/>
      <c r="AE29" s="1"/>
      <c r="AF29" s="1"/>
      <c r="AG29" s="1"/>
      <c r="AH29" s="1"/>
      <c r="AI29" s="1"/>
      <c r="AJ29" s="1"/>
    </row>
    <row r="30" spans="1:36" ht="12" customHeight="1">
      <c r="A30" s="1"/>
      <c r="B30" s="1"/>
      <c r="C30" s="1"/>
      <c r="D30" s="1"/>
      <c r="E30" s="1"/>
      <c r="F30" s="1"/>
      <c r="G30" s="231" t="s">
        <v>47</v>
      </c>
      <c r="H30" s="220"/>
      <c r="I30" s="221">
        <f>IF(G27=0,0,ROUND((MAX(G27:H29)-MIN(G27:H29)),4))</f>
        <v>0</v>
      </c>
      <c r="J30" s="220"/>
      <c r="K30" s="25">
        <f t="shared" si="11"/>
        <v>0</v>
      </c>
      <c r="L30" s="26">
        <f>IF(OR(D27=" ",D28=" ",D29=" "),0,IF(AND(D27&lt;=500,D28&lt;=500,D29&lt;=500),0.5,(IF(AND(D27&lt;=2000,D28&lt;=2000,D29&lt;=2000),1,IF(AND(D27&gt;2000,D28&gt;2000,D29&gt;2000),1.5," ")))))</f>
        <v>0</v>
      </c>
      <c r="M30" s="27" t="str">
        <f t="shared" si="6"/>
        <v>Y</v>
      </c>
      <c r="N30" s="28"/>
      <c r="O30" s="1"/>
      <c r="P30" s="1"/>
      <c r="Q30" s="1"/>
      <c r="R30" s="1"/>
      <c r="S30" s="237"/>
      <c r="T30" s="237"/>
      <c r="U30" s="237"/>
      <c r="V30" s="237"/>
      <c r="W30" s="237"/>
      <c r="X30" s="237"/>
      <c r="Y30" s="1"/>
      <c r="Z30" s="1"/>
      <c r="AA30" s="1"/>
      <c r="AB30" s="1"/>
      <c r="AC30" s="1"/>
      <c r="AD30" s="1"/>
      <c r="AE30" s="1"/>
      <c r="AF30" s="1"/>
      <c r="AG30" s="1"/>
      <c r="AH30" s="1"/>
      <c r="AI30" s="1"/>
      <c r="AJ30" s="1"/>
    </row>
    <row r="31" spans="1:36" ht="12" customHeight="1">
      <c r="A31" s="1"/>
      <c r="B31" s="1"/>
      <c r="C31" s="1"/>
      <c r="D31" s="1"/>
      <c r="E31" s="1"/>
      <c r="F31" s="1"/>
      <c r="G31" s="1"/>
      <c r="H31" s="1"/>
      <c r="I31" s="1"/>
      <c r="J31" s="224" t="str">
        <f>IF($D$14="English","Test passed?","Test bestanden?")</f>
        <v>Test passed?</v>
      </c>
      <c r="K31" s="225"/>
      <c r="L31" s="226"/>
      <c r="M31" s="27" t="str">
        <f>IF(AND(M23="Y",M24="Y",M25="Y",M26="Y",M27="Y",M28="Y",M29="Y",M30="Y"),"Y","N")</f>
        <v>N</v>
      </c>
      <c r="N31" s="1"/>
      <c r="O31" s="1"/>
      <c r="P31" s="1"/>
      <c r="Q31" s="1"/>
      <c r="R31" s="1"/>
      <c r="S31" s="237"/>
      <c r="T31" s="237"/>
      <c r="U31" s="237"/>
      <c r="V31" s="237"/>
      <c r="W31" s="237"/>
      <c r="X31" s="237"/>
      <c r="Y31" s="1"/>
      <c r="Z31" s="1"/>
      <c r="AA31" s="1"/>
      <c r="AB31" s="1"/>
      <c r="AC31" s="1"/>
      <c r="AD31" s="1"/>
      <c r="AE31" s="1"/>
      <c r="AF31" s="1"/>
      <c r="AG31" s="1"/>
      <c r="AH31" s="1"/>
      <c r="AI31" s="1"/>
      <c r="AJ31" s="1"/>
    </row>
    <row r="32" spans="1:36" ht="15.75" customHeight="1">
      <c r="A32" s="7" t="str">
        <f>IF($D$14="English","2.  Accuracy of Zero Device (hi-res mode: off):","2.  Prüfung der Genauigkeit der Nullstellung (Hi-Res-Modus aus):")</f>
        <v>2.  Accuracy of Zero Device (hi-res mode: off):</v>
      </c>
      <c r="B32" s="1"/>
      <c r="C32" s="1"/>
      <c r="D32" s="1"/>
      <c r="E32" s="1"/>
      <c r="F32" s="1"/>
      <c r="G32" s="1"/>
      <c r="H32" s="1" t="str">
        <f>IF($D$14="English","accordance to EN45501-2015, A.4.2.3","gemäß EN45501-2015, A.4.2.3")</f>
        <v>accordance to EN45501-2015, A.4.2.3</v>
      </c>
      <c r="I32" s="1"/>
      <c r="J32" s="1"/>
      <c r="K32" s="1"/>
      <c r="L32" s="30"/>
      <c r="M32" s="1"/>
      <c r="N32" s="1"/>
      <c r="O32" s="1"/>
      <c r="P32" s="1"/>
      <c r="Q32" s="1"/>
      <c r="R32" s="1"/>
      <c r="S32" s="1"/>
      <c r="T32" s="1"/>
      <c r="U32" s="1"/>
      <c r="V32" s="1"/>
      <c r="W32" s="1"/>
      <c r="X32" s="1"/>
      <c r="Y32" s="1"/>
      <c r="Z32" s="1"/>
      <c r="AA32" s="1"/>
      <c r="AB32" s="1"/>
      <c r="AC32" s="1"/>
      <c r="AD32" s="1"/>
      <c r="AE32" s="1"/>
      <c r="AF32" s="1"/>
      <c r="AG32" s="1"/>
      <c r="AH32" s="1"/>
      <c r="AI32" s="1"/>
      <c r="AJ32" s="1"/>
    </row>
    <row r="33" spans="1:36" ht="12" customHeight="1">
      <c r="A33" s="231" t="s">
        <v>48</v>
      </c>
      <c r="B33" s="223"/>
      <c r="C33" s="223"/>
      <c r="D33" s="220"/>
      <c r="E33" s="231" t="s">
        <v>49</v>
      </c>
      <c r="F33" s="223"/>
      <c r="G33" s="220"/>
      <c r="H33" s="231" t="s">
        <v>29</v>
      </c>
      <c r="I33" s="223"/>
      <c r="J33" s="220"/>
      <c r="K33" s="19" t="s">
        <v>30</v>
      </c>
      <c r="L33" s="1"/>
      <c r="M33" s="1"/>
      <c r="N33" s="1"/>
      <c r="O33" s="1"/>
      <c r="P33" s="1"/>
      <c r="Q33" s="1"/>
      <c r="R33" s="1"/>
      <c r="S33" s="1"/>
      <c r="T33" s="1"/>
      <c r="U33" s="1"/>
      <c r="V33" s="1"/>
      <c r="W33" s="1"/>
      <c r="X33" s="1"/>
      <c r="Y33" s="1"/>
      <c r="Z33" s="1"/>
      <c r="AA33" s="1"/>
      <c r="AB33" s="1"/>
      <c r="AC33" s="1"/>
      <c r="AD33" s="1"/>
      <c r="AE33" s="1"/>
      <c r="AF33" s="1"/>
      <c r="AG33" s="1"/>
      <c r="AH33" s="1"/>
      <c r="AI33" s="1"/>
      <c r="AJ33" s="1"/>
    </row>
    <row r="34" spans="1:36" ht="12.75" customHeight="1">
      <c r="A34" s="231" t="s">
        <v>33</v>
      </c>
      <c r="B34" s="223"/>
      <c r="C34" s="223"/>
      <c r="D34" s="220"/>
      <c r="E34" s="231" t="s">
        <v>33</v>
      </c>
      <c r="F34" s="223"/>
      <c r="G34" s="220"/>
      <c r="H34" s="231" t="s">
        <v>33</v>
      </c>
      <c r="I34" s="220"/>
      <c r="J34" s="19" t="s">
        <v>32</v>
      </c>
      <c r="K34" s="19" t="s">
        <v>34</v>
      </c>
      <c r="L34" s="1"/>
      <c r="M34" s="1"/>
      <c r="N34" s="1"/>
      <c r="O34" s="1"/>
      <c r="P34" s="1"/>
      <c r="Q34" s="1"/>
      <c r="R34" s="1"/>
      <c r="S34" s="1"/>
      <c r="T34" s="1"/>
      <c r="U34" s="1"/>
      <c r="V34" s="1"/>
      <c r="W34" s="1"/>
      <c r="X34" s="1"/>
      <c r="Y34" s="1"/>
      <c r="Z34" s="1"/>
      <c r="AA34" s="1"/>
      <c r="AB34" s="1"/>
      <c r="AC34" s="1"/>
      <c r="AD34" s="1"/>
      <c r="AE34" s="1"/>
      <c r="AF34" s="1"/>
      <c r="AG34" s="1"/>
      <c r="AH34" s="1"/>
      <c r="AI34" s="1"/>
      <c r="AJ34" s="1"/>
    </row>
    <row r="35" spans="1:36" ht="12" customHeight="1">
      <c r="A35" s="235"/>
      <c r="B35" s="215"/>
      <c r="C35" s="215"/>
      <c r="D35" s="216"/>
      <c r="E35" s="221">
        <f>0.5*$D$11-$A$35</f>
        <v>0</v>
      </c>
      <c r="F35" s="223"/>
      <c r="G35" s="220"/>
      <c r="H35" s="221">
        <f>J35*$D$11</f>
        <v>0</v>
      </c>
      <c r="I35" s="220"/>
      <c r="J35" s="24">
        <v>0.25</v>
      </c>
      <c r="K35" s="27" t="str">
        <f>IF(D35=" ","N",IF(H35&gt;=ABS($E35),"Y","N"))</f>
        <v>Y</v>
      </c>
      <c r="R35" s="1"/>
      <c r="S35" s="1"/>
      <c r="T35" s="1"/>
      <c r="U35" s="1"/>
      <c r="V35" s="1"/>
      <c r="W35" s="1"/>
      <c r="X35" s="1"/>
      <c r="Y35" s="1"/>
      <c r="Z35" s="1"/>
      <c r="AA35" s="1"/>
      <c r="AB35" s="1"/>
      <c r="AC35" s="1"/>
      <c r="AD35" s="1"/>
      <c r="AE35" s="1"/>
      <c r="AF35" s="1"/>
      <c r="AG35" s="1"/>
      <c r="AH35" s="1"/>
      <c r="AI35" s="1"/>
      <c r="AJ35" s="1"/>
    </row>
    <row r="36" spans="1:36" ht="12" customHeight="1">
      <c r="A36" s="7"/>
      <c r="B36" s="7"/>
      <c r="C36" s="1"/>
      <c r="D36" s="1"/>
      <c r="E36" s="1"/>
      <c r="F36" s="1"/>
      <c r="G36" s="1"/>
      <c r="H36" s="1"/>
      <c r="I36" s="1"/>
      <c r="J36" s="6" t="str">
        <f>IF($D$14="English","Test passed?","Test bestanden?")</f>
        <v>Test passed?</v>
      </c>
      <c r="K36" s="27" t="str">
        <f>IF(K35="Y","Y","N")</f>
        <v>Y</v>
      </c>
      <c r="R36" s="1"/>
      <c r="S36" s="1"/>
      <c r="T36" s="1"/>
      <c r="U36" s="1"/>
      <c r="V36" s="1"/>
      <c r="W36" s="1"/>
      <c r="X36" s="1"/>
      <c r="Y36" s="1"/>
      <c r="Z36" s="1"/>
      <c r="AA36" s="1"/>
      <c r="AB36" s="1"/>
      <c r="AC36" s="1"/>
      <c r="AD36" s="1"/>
      <c r="AE36" s="1"/>
      <c r="AF36" s="1"/>
      <c r="AG36" s="1"/>
      <c r="AH36" s="1"/>
      <c r="AI36" s="1"/>
      <c r="AJ36" s="1"/>
    </row>
    <row r="37" spans="1:36" ht="12" customHeight="1">
      <c r="A37" s="7"/>
      <c r="B37" s="1"/>
      <c r="C37" s="1"/>
      <c r="D37" s="1"/>
      <c r="E37" s="1"/>
      <c r="F37" s="1"/>
      <c r="G37" s="1"/>
      <c r="H37" s="1"/>
      <c r="I37" s="1"/>
      <c r="J37" s="1"/>
      <c r="K37" s="1"/>
      <c r="L37" s="30"/>
      <c r="M37" s="1"/>
      <c r="R37" s="1"/>
      <c r="S37" s="1"/>
      <c r="T37" s="1"/>
      <c r="U37" s="1"/>
      <c r="V37" s="1"/>
      <c r="W37" s="1"/>
      <c r="X37" s="1"/>
      <c r="Y37" s="1"/>
      <c r="Z37" s="1"/>
      <c r="AA37" s="1"/>
      <c r="AB37" s="1"/>
      <c r="AC37" s="1"/>
      <c r="AD37" s="1"/>
      <c r="AE37" s="1"/>
      <c r="AF37" s="1"/>
      <c r="AG37" s="1"/>
      <c r="AH37" s="1"/>
      <c r="AI37" s="1"/>
      <c r="AJ37" s="1"/>
    </row>
    <row r="38" spans="1:36" ht="12" customHeight="1">
      <c r="A38" s="7" t="str">
        <f>IF($D$14="English","3.  Accuracy of Tare Device  (hi-res mode: off):","3.  Genauigkeit der Tarierung  (Hi-Res-Modus: aus):")</f>
        <v>3.  Accuracy of Tare Device  (hi-res mode: off):</v>
      </c>
      <c r="B38" s="31"/>
      <c r="C38" s="32"/>
      <c r="D38" s="1"/>
      <c r="E38" s="1"/>
      <c r="F38" s="1"/>
      <c r="G38" s="1" t="str">
        <f>IF($D$14="English","accordance to EN45501-2015, A.4.6.2","gemäß EN45501-2015, A.4.6.2")</f>
        <v>accordance to EN45501-2015, A.4.6.2</v>
      </c>
      <c r="H38" s="1"/>
      <c r="J38" s="17"/>
      <c r="K38" s="1"/>
      <c r="L38" s="1"/>
      <c r="M38" s="33" t="s">
        <v>50</v>
      </c>
      <c r="O38" s="34"/>
      <c r="R38" s="1"/>
      <c r="S38" s="1"/>
      <c r="T38" s="1"/>
      <c r="U38" s="1"/>
      <c r="V38" s="1"/>
      <c r="W38" s="1"/>
      <c r="X38" s="1"/>
      <c r="Y38" s="1"/>
      <c r="Z38" s="1"/>
      <c r="AA38" s="1"/>
      <c r="AB38" s="1"/>
      <c r="AC38" s="1"/>
      <c r="AD38" s="1"/>
      <c r="AE38" s="1"/>
      <c r="AF38" s="1"/>
      <c r="AG38" s="1"/>
      <c r="AH38" s="1"/>
      <c r="AI38" s="1"/>
      <c r="AJ38" s="1"/>
    </row>
    <row r="39" spans="1:36" ht="12" customHeight="1">
      <c r="A39" s="1"/>
      <c r="B39" s="31"/>
      <c r="C39" s="32"/>
      <c r="D39" s="1"/>
      <c r="E39" s="1"/>
      <c r="F39" s="1"/>
      <c r="G39" s="6"/>
      <c r="H39" s="1"/>
      <c r="J39" s="17"/>
      <c r="K39" s="1"/>
      <c r="L39" s="1"/>
      <c r="M39" s="1"/>
      <c r="N39" s="1"/>
      <c r="O39" s="1"/>
      <c r="P39" s="1"/>
      <c r="Q39" s="1"/>
      <c r="R39" s="1"/>
      <c r="S39" s="1"/>
      <c r="T39" s="1"/>
      <c r="U39" s="1"/>
      <c r="V39" s="1"/>
      <c r="W39" s="1"/>
      <c r="X39" s="1"/>
      <c r="Y39" s="1"/>
      <c r="Z39" s="1"/>
      <c r="AA39" s="1"/>
      <c r="AB39" s="1"/>
      <c r="AC39" s="1"/>
      <c r="AD39" s="1"/>
      <c r="AE39" s="1"/>
      <c r="AF39" s="1"/>
      <c r="AG39" s="1"/>
      <c r="AH39" s="1"/>
      <c r="AI39" s="1"/>
      <c r="AJ39" s="1"/>
    </row>
    <row r="40" spans="1:36" ht="12" customHeight="1">
      <c r="A40" s="231" t="s">
        <v>48</v>
      </c>
      <c r="B40" s="223"/>
      <c r="C40" s="223"/>
      <c r="D40" s="220"/>
      <c r="E40" s="231" t="s">
        <v>51</v>
      </c>
      <c r="F40" s="223"/>
      <c r="G40" s="220"/>
      <c r="H40" s="231" t="s">
        <v>29</v>
      </c>
      <c r="I40" s="220"/>
      <c r="J40" s="19" t="s">
        <v>30</v>
      </c>
      <c r="K40" s="1"/>
      <c r="L40" s="1"/>
      <c r="M40" s="1"/>
      <c r="N40" s="1"/>
      <c r="O40" s="1"/>
      <c r="P40" s="1"/>
      <c r="Q40" s="1"/>
      <c r="R40" s="1"/>
      <c r="S40" s="1"/>
      <c r="T40" s="1"/>
      <c r="U40" s="1"/>
      <c r="V40" s="1"/>
      <c r="W40" s="1"/>
      <c r="X40" s="1"/>
      <c r="Y40" s="1"/>
      <c r="Z40" s="1"/>
      <c r="AA40" s="1"/>
      <c r="AB40" s="1"/>
      <c r="AC40" s="1"/>
      <c r="AD40" s="1"/>
      <c r="AE40" s="1"/>
      <c r="AF40" s="1"/>
      <c r="AG40" s="1"/>
      <c r="AH40" s="1"/>
      <c r="AI40" s="1"/>
      <c r="AJ40" s="1"/>
    </row>
    <row r="41" spans="1:36" ht="12" customHeight="1">
      <c r="A41" s="231" t="s">
        <v>33</v>
      </c>
      <c r="B41" s="223"/>
      <c r="C41" s="223"/>
      <c r="D41" s="220"/>
      <c r="E41" s="231" t="s">
        <v>33</v>
      </c>
      <c r="F41" s="223"/>
      <c r="G41" s="220"/>
      <c r="H41" s="19" t="s">
        <v>33</v>
      </c>
      <c r="I41" s="21" t="s">
        <v>32</v>
      </c>
      <c r="J41" s="19" t="s">
        <v>34</v>
      </c>
      <c r="K41" s="1"/>
      <c r="L41" s="1"/>
      <c r="M41" s="1"/>
      <c r="N41" s="1"/>
      <c r="O41" s="1"/>
      <c r="P41" s="1"/>
      <c r="Q41" s="1"/>
      <c r="R41" s="1"/>
      <c r="S41" s="1"/>
      <c r="T41" s="1"/>
      <c r="U41" s="1"/>
      <c r="V41" s="1"/>
      <c r="W41" s="1"/>
      <c r="X41" s="1"/>
      <c r="Y41" s="1"/>
      <c r="Z41" s="1"/>
      <c r="AA41" s="1"/>
      <c r="AB41" s="1"/>
      <c r="AC41" s="1"/>
      <c r="AD41" s="1"/>
      <c r="AE41" s="1"/>
      <c r="AF41" s="1"/>
      <c r="AG41" s="1"/>
      <c r="AH41" s="1"/>
      <c r="AI41" s="1"/>
      <c r="AJ41" s="1"/>
    </row>
    <row r="42" spans="1:36" ht="12" customHeight="1">
      <c r="A42" s="233"/>
      <c r="B42" s="215"/>
      <c r="C42" s="215"/>
      <c r="D42" s="216"/>
      <c r="E42" s="221" t="str">
        <f>IF(A42=0," ",0.5*$D$11-$A$42)</f>
        <v xml:space="preserve"> </v>
      </c>
      <c r="F42" s="223"/>
      <c r="G42" s="220"/>
      <c r="H42" s="35">
        <f>I42*$D$11</f>
        <v>0</v>
      </c>
      <c r="I42" s="36">
        <v>0.25</v>
      </c>
      <c r="J42" s="27" t="str">
        <f>IF(A42=0," ",IF(H42&gt;=ABS($E42),"Y","N"))</f>
        <v xml:space="preserve"> </v>
      </c>
      <c r="K42" s="1"/>
      <c r="L42" s="1"/>
      <c r="M42" s="1"/>
      <c r="N42" s="1"/>
      <c r="O42" s="1"/>
      <c r="P42" s="1"/>
      <c r="Q42" s="1"/>
      <c r="R42" s="1"/>
      <c r="S42" s="1"/>
      <c r="T42" s="1"/>
      <c r="U42" s="1"/>
      <c r="V42" s="1"/>
      <c r="W42" s="1"/>
      <c r="X42" s="1"/>
      <c r="Y42" s="1"/>
      <c r="Z42" s="1"/>
      <c r="AA42" s="1"/>
      <c r="AB42" s="1"/>
      <c r="AC42" s="1"/>
      <c r="AD42" s="1"/>
      <c r="AE42" s="1"/>
      <c r="AF42" s="1"/>
      <c r="AG42" s="1"/>
      <c r="AH42" s="1"/>
      <c r="AI42" s="1"/>
      <c r="AJ42" s="1"/>
    </row>
    <row r="43" spans="1:36" ht="12" customHeight="1">
      <c r="A43" s="7"/>
      <c r="B43" s="7"/>
      <c r="C43" s="1"/>
      <c r="D43" s="1"/>
      <c r="E43" s="1"/>
      <c r="F43" s="1"/>
      <c r="G43" s="1"/>
      <c r="H43" s="1"/>
      <c r="I43" s="6" t="str">
        <f>IF($D$14="English","Test passed?","Test bestanden?")</f>
        <v>Test passed?</v>
      </c>
      <c r="J43" s="27" t="str">
        <f>IF(J42="Y","Y","N")</f>
        <v>N</v>
      </c>
      <c r="K43" s="1"/>
      <c r="L43" s="1"/>
      <c r="M43" s="1"/>
      <c r="N43" s="1"/>
      <c r="O43" s="1"/>
      <c r="P43" s="1"/>
      <c r="Q43" s="1"/>
      <c r="R43" s="1"/>
      <c r="S43" s="1"/>
      <c r="T43" s="1"/>
      <c r="U43" s="1"/>
      <c r="V43" s="1"/>
      <c r="W43" s="1"/>
      <c r="X43" s="1"/>
      <c r="Y43" s="1"/>
      <c r="Z43" s="1"/>
      <c r="AA43" s="1"/>
      <c r="AB43" s="1"/>
      <c r="AC43" s="1"/>
      <c r="AD43" s="1"/>
      <c r="AE43" s="1"/>
      <c r="AF43" s="1"/>
      <c r="AG43" s="1"/>
      <c r="AH43" s="1"/>
      <c r="AI43" s="1"/>
      <c r="AJ43" s="1"/>
    </row>
    <row r="44" spans="1:36" ht="12" customHeight="1">
      <c r="A44" s="1"/>
      <c r="B44" s="1"/>
      <c r="C44" s="1"/>
      <c r="D44" s="1"/>
      <c r="E44" s="1"/>
      <c r="F44" s="1"/>
      <c r="G44" s="6"/>
      <c r="J44" s="17"/>
      <c r="K44" s="1"/>
      <c r="L44" s="1"/>
      <c r="M44" s="1"/>
      <c r="N44" s="1"/>
      <c r="O44" s="1"/>
      <c r="P44" s="1"/>
      <c r="Q44" s="1"/>
      <c r="R44" s="1"/>
      <c r="S44" s="1"/>
      <c r="T44" s="1"/>
      <c r="U44" s="1"/>
      <c r="V44" s="1"/>
      <c r="W44" s="1"/>
      <c r="X44" s="1"/>
      <c r="Y44" s="1"/>
      <c r="Z44" s="1"/>
      <c r="AA44" s="1"/>
      <c r="AB44" s="1"/>
      <c r="AC44" s="1"/>
      <c r="AD44" s="1"/>
      <c r="AE44" s="1"/>
      <c r="AF44" s="1"/>
      <c r="AG44" s="1"/>
      <c r="AH44" s="1"/>
      <c r="AI44" s="1"/>
      <c r="AJ44" s="1"/>
    </row>
    <row r="45" spans="1:36" ht="12" customHeight="1">
      <c r="A45" s="1"/>
      <c r="B45" s="1"/>
      <c r="C45" s="1"/>
      <c r="D45" s="1"/>
      <c r="E45" s="1"/>
      <c r="F45" s="1"/>
      <c r="G45" s="1"/>
      <c r="H45" s="1"/>
      <c r="I45" s="1"/>
      <c r="J45" s="6"/>
      <c r="N45" s="1"/>
      <c r="O45" s="1"/>
      <c r="P45" s="1"/>
      <c r="Q45" s="1"/>
      <c r="R45" s="1"/>
      <c r="S45" s="29"/>
      <c r="T45" s="29"/>
      <c r="U45" s="29"/>
      <c r="V45" s="29"/>
      <c r="W45" s="29"/>
      <c r="X45" s="29"/>
      <c r="Y45" s="1"/>
      <c r="Z45" s="1"/>
      <c r="AA45" s="1"/>
      <c r="AB45" s="1"/>
      <c r="AC45" s="1"/>
      <c r="AD45" s="1"/>
      <c r="AE45" s="1"/>
      <c r="AF45" s="1"/>
      <c r="AG45" s="1"/>
      <c r="AH45" s="1"/>
      <c r="AI45" s="1"/>
      <c r="AJ45" s="1"/>
    </row>
    <row r="46" spans="1:36" ht="12" customHeight="1">
      <c r="A46" s="1"/>
      <c r="B46" s="1"/>
      <c r="C46" s="1"/>
      <c r="D46" s="1"/>
      <c r="E46" s="1"/>
      <c r="F46" s="1"/>
      <c r="G46" s="6"/>
      <c r="J46" s="17"/>
      <c r="K46" s="1"/>
      <c r="L46" s="1"/>
      <c r="M46" s="1"/>
      <c r="N46" s="1"/>
      <c r="O46" s="1"/>
      <c r="P46" s="1"/>
      <c r="Q46" s="1"/>
      <c r="R46" s="1"/>
      <c r="S46" s="1"/>
      <c r="T46" s="1"/>
      <c r="U46" s="1"/>
      <c r="V46" s="1"/>
      <c r="W46" s="1"/>
      <c r="X46" s="1"/>
      <c r="Y46" s="1"/>
      <c r="Z46" s="1"/>
      <c r="AA46" s="1"/>
      <c r="AB46" s="1"/>
      <c r="AC46" s="1"/>
      <c r="AD46" s="1"/>
      <c r="AE46" s="1"/>
      <c r="AF46" s="1"/>
      <c r="AG46" s="1"/>
      <c r="AH46" s="1"/>
      <c r="AI46" s="1"/>
      <c r="AJ46" s="1"/>
    </row>
    <row r="47" spans="1:36" ht="12" customHeight="1">
      <c r="A47" s="7" t="str">
        <f>IF($D$14="English","4.  Weighing / Linearity Test (Indicator in hi-res mode):","4. Prüfung der Richtigkeit mit Normallast (Indikator in Hi-Res-Modus):")</f>
        <v>4.  Weighing / Linearity Test (Indicator in hi-res mode):</v>
      </c>
      <c r="B47" s="1"/>
      <c r="C47" s="6"/>
      <c r="D47" s="8"/>
      <c r="E47" s="8"/>
      <c r="F47" s="1"/>
      <c r="G47" s="1"/>
      <c r="H47" s="1" t="str">
        <f>IF($D$14="English","accordance to EN45501-2015, A.4.4.1","gemäß EN45501-2015, A.4.4.1")</f>
        <v>accordance to EN45501-2015, A.4.4.1</v>
      </c>
      <c r="I47" s="1"/>
      <c r="J47" s="1"/>
      <c r="K47" s="1"/>
      <c r="L47" s="1"/>
      <c r="M47" s="6"/>
      <c r="N47" s="1"/>
      <c r="O47" s="1"/>
      <c r="P47" s="1"/>
      <c r="Q47" s="1"/>
      <c r="R47" s="1"/>
      <c r="S47" s="1"/>
      <c r="T47" s="1"/>
      <c r="U47" s="1"/>
      <c r="V47" s="1"/>
      <c r="W47" s="1"/>
      <c r="X47" s="1"/>
      <c r="Y47" s="1"/>
      <c r="Z47" s="1"/>
      <c r="AA47" s="1"/>
      <c r="AB47" s="1"/>
      <c r="AC47" s="1"/>
      <c r="AD47" s="1"/>
      <c r="AE47" s="1"/>
      <c r="AF47" s="1"/>
      <c r="AG47" s="1"/>
      <c r="AH47" s="1"/>
      <c r="AI47" s="1"/>
      <c r="AJ47" s="1"/>
    </row>
    <row r="48" spans="1:36" ht="12" customHeight="1">
      <c r="A48" s="234" t="str">
        <f>IF($D$14="English","load must be about","ungefähre Last")</f>
        <v>load must be about</v>
      </c>
      <c r="B48" s="223"/>
      <c r="C48" s="220"/>
      <c r="D48" s="231" t="s">
        <v>26</v>
      </c>
      <c r="E48" s="223"/>
      <c r="F48" s="220"/>
      <c r="G48" s="231" t="s">
        <v>27</v>
      </c>
      <c r="H48" s="220"/>
      <c r="I48" s="231" t="s">
        <v>28</v>
      </c>
      <c r="J48" s="220"/>
      <c r="K48" s="231" t="s">
        <v>29</v>
      </c>
      <c r="L48" s="220"/>
      <c r="M48" s="232" t="s">
        <v>52</v>
      </c>
      <c r="N48" s="223"/>
      <c r="O48" s="220"/>
      <c r="P48" s="231" t="s">
        <v>30</v>
      </c>
      <c r="Q48" s="220"/>
      <c r="R48" s="7" t="s">
        <v>53</v>
      </c>
      <c r="S48" s="1"/>
      <c r="T48" s="1"/>
      <c r="U48" s="1"/>
      <c r="V48" s="1"/>
      <c r="W48" s="1" t="s">
        <v>54</v>
      </c>
      <c r="X48" s="1"/>
      <c r="Y48" s="1"/>
      <c r="Z48" s="1"/>
      <c r="AA48" s="1"/>
      <c r="AB48" s="1"/>
      <c r="AC48" s="1"/>
      <c r="AD48" s="1"/>
      <c r="AE48" s="1"/>
      <c r="AF48" s="1"/>
      <c r="AG48" s="1"/>
      <c r="AH48" s="1"/>
      <c r="AI48" s="1"/>
      <c r="AJ48" s="1"/>
    </row>
    <row r="49" spans="1:36" ht="12" customHeight="1">
      <c r="A49" s="19" t="s">
        <v>32</v>
      </c>
      <c r="B49" s="239" t="s">
        <v>33</v>
      </c>
      <c r="C49" s="220"/>
      <c r="D49" s="19" t="s">
        <v>32</v>
      </c>
      <c r="E49" s="239" t="s">
        <v>33</v>
      </c>
      <c r="F49" s="220"/>
      <c r="G49" s="231" t="s">
        <v>33</v>
      </c>
      <c r="H49" s="220"/>
      <c r="I49" s="231" t="s">
        <v>33</v>
      </c>
      <c r="J49" s="223"/>
      <c r="K49" s="19" t="s">
        <v>33</v>
      </c>
      <c r="L49" s="21" t="s">
        <v>32</v>
      </c>
      <c r="M49" s="231" t="s">
        <v>33</v>
      </c>
      <c r="N49" s="223"/>
      <c r="O49" s="223"/>
      <c r="P49" s="231" t="s">
        <v>34</v>
      </c>
      <c r="Q49" s="220"/>
      <c r="R49" s="7" t="s">
        <v>55</v>
      </c>
      <c r="S49" s="1"/>
      <c r="T49" s="1"/>
      <c r="U49" s="1"/>
      <c r="V49" s="1"/>
      <c r="W49" s="1"/>
      <c r="X49" s="1"/>
      <c r="Y49" s="1"/>
      <c r="Z49" s="1"/>
      <c r="AA49" s="1"/>
      <c r="AB49" s="1"/>
      <c r="AC49" s="23" t="s">
        <v>2</v>
      </c>
      <c r="AD49" s="1"/>
      <c r="AE49" s="1"/>
      <c r="AF49" s="1"/>
      <c r="AG49" s="1"/>
      <c r="AH49" s="1"/>
      <c r="AI49" s="1"/>
      <c r="AJ49" s="1"/>
    </row>
    <row r="50" spans="1:36" ht="12" customHeight="1">
      <c r="A50" s="38">
        <v>20</v>
      </c>
      <c r="B50" s="227">
        <f>A50*$D$11</f>
        <v>0</v>
      </c>
      <c r="C50" s="220"/>
      <c r="D50" s="38" t="str">
        <f t="shared" ref="D50:D52" si="13">IF(E50=0," ",E50/$D$11)</f>
        <v xml:space="preserve"> </v>
      </c>
      <c r="E50" s="230"/>
      <c r="F50" s="216"/>
      <c r="G50" s="229"/>
      <c r="H50" s="216"/>
      <c r="I50" s="221" t="str">
        <f t="shared" ref="I50:I55" si="14">IF(G50=0," ",(G50-E50))</f>
        <v xml:space="preserve"> </v>
      </c>
      <c r="J50" s="220"/>
      <c r="K50" s="25">
        <f t="shared" ref="K50:K51" si="15">L50*$D$11</f>
        <v>0</v>
      </c>
      <c r="L50" s="26">
        <f t="shared" ref="L50:L64" si="16">IF(D50="-"," ",IF(D50&lt;=500,0.5,(IF(D50&lt;=2000,1,IF(D50&gt;2000,1.5," ")))))</f>
        <v>1.5</v>
      </c>
      <c r="M50" s="221" t="str">
        <f t="shared" ref="M50:M64" si="17">IF(E50=0," ",IF($E$35=" "," ",ROUND(I50-$E$35,4)))</f>
        <v xml:space="preserve"> </v>
      </c>
      <c r="N50" s="223"/>
      <c r="O50" s="223"/>
      <c r="P50" s="222" t="str">
        <f t="shared" ref="P50:P64" si="18">IF(M50=" "," ",IF(ABS(M50)&lt;=K50,"Y","N"))</f>
        <v xml:space="preserve"> </v>
      </c>
      <c r="Q50" s="220"/>
      <c r="R50" s="1"/>
      <c r="S50" s="1"/>
      <c r="T50" s="1"/>
      <c r="U50" s="1"/>
      <c r="V50" s="1"/>
      <c r="W50" s="1" t="s">
        <v>56</v>
      </c>
      <c r="X50" s="1"/>
      <c r="Y50" s="1"/>
      <c r="Z50" s="1"/>
      <c r="AA50" s="1"/>
      <c r="AB50" s="39" t="e">
        <f t="shared" ref="AB50:AB57" si="19">IF(AND(E50&lt;=$D$9,ABS(M50)&lt;=0.5*$D$11),1,IF(AND(E50&gt;$D$9,ABS(M50)&lt;=0.5*$D$12),1,2))</f>
        <v>#VALUE!</v>
      </c>
      <c r="AC50" s="1"/>
      <c r="AD50" s="1"/>
      <c r="AE50" s="1"/>
      <c r="AF50" s="1"/>
      <c r="AG50" s="1"/>
      <c r="AH50" s="1"/>
      <c r="AI50" s="1"/>
      <c r="AJ50" s="1"/>
    </row>
    <row r="51" spans="1:36" ht="12" customHeight="1">
      <c r="A51" s="24" t="str">
        <f>IF($D$11=0,"-",IF($D$9/$D$11&lt;=500,100,IF($D$9/$D$11&lt;=1000,100,IF($D$9/$D$11&lt;=2000,200,500))))</f>
        <v>-</v>
      </c>
      <c r="B51" s="227" t="str">
        <f t="shared" ref="B51:B53" si="20">IF($D$11=0," ",A51*$D$11)</f>
        <v xml:space="preserve"> </v>
      </c>
      <c r="C51" s="220"/>
      <c r="D51" s="38" t="str">
        <f t="shared" si="13"/>
        <v xml:space="preserve"> </v>
      </c>
      <c r="E51" s="230"/>
      <c r="F51" s="216"/>
      <c r="G51" s="229"/>
      <c r="H51" s="216"/>
      <c r="I51" s="221" t="str">
        <f t="shared" si="14"/>
        <v xml:space="preserve"> </v>
      </c>
      <c r="J51" s="220"/>
      <c r="K51" s="25">
        <f t="shared" si="15"/>
        <v>0</v>
      </c>
      <c r="L51" s="26">
        <f t="shared" si="16"/>
        <v>1.5</v>
      </c>
      <c r="M51" s="221" t="str">
        <f t="shared" si="17"/>
        <v xml:space="preserve"> </v>
      </c>
      <c r="N51" s="223"/>
      <c r="O51" s="223"/>
      <c r="P51" s="222" t="str">
        <f t="shared" si="18"/>
        <v xml:space="preserve"> </v>
      </c>
      <c r="Q51" s="220"/>
      <c r="R51" s="7" t="s">
        <v>57</v>
      </c>
      <c r="S51" s="31"/>
      <c r="T51" s="32"/>
      <c r="U51" s="1"/>
      <c r="V51" s="1"/>
      <c r="W51" s="1"/>
      <c r="X51" s="6"/>
      <c r="Y51" s="1"/>
      <c r="Z51" s="1"/>
      <c r="AA51" s="1"/>
      <c r="AB51" s="39" t="e">
        <f t="shared" si="19"/>
        <v>#VALUE!</v>
      </c>
      <c r="AC51" s="1" t="s">
        <v>0</v>
      </c>
      <c r="AD51" s="1"/>
      <c r="AE51" s="1"/>
      <c r="AF51" s="1"/>
      <c r="AG51" s="1"/>
      <c r="AH51" s="1"/>
      <c r="AI51" s="1"/>
      <c r="AJ51" s="1"/>
    </row>
    <row r="52" spans="1:36" ht="12" customHeight="1">
      <c r="A52" s="24" t="str">
        <f>IF($D$11=0,"-",IF($D$9/$D$11&lt;=500,200,IF($D$9/$D$11&lt;=1000,200,IF($D$9/$D$11&lt;=2000,500,1000))))</f>
        <v>-</v>
      </c>
      <c r="B52" s="227" t="str">
        <f t="shared" si="20"/>
        <v xml:space="preserve"> </v>
      </c>
      <c r="C52" s="220"/>
      <c r="D52" s="38" t="str">
        <f t="shared" si="13"/>
        <v xml:space="preserve"> </v>
      </c>
      <c r="E52" s="230"/>
      <c r="F52" s="216"/>
      <c r="G52" s="229"/>
      <c r="H52" s="216"/>
      <c r="I52" s="221" t="str">
        <f t="shared" si="14"/>
        <v xml:space="preserve"> </v>
      </c>
      <c r="J52" s="220"/>
      <c r="K52" s="25">
        <f t="shared" ref="K52:K53" si="21">IF(D52="-",0,L52*$D$11)</f>
        <v>0</v>
      </c>
      <c r="L52" s="26">
        <f t="shared" si="16"/>
        <v>1.5</v>
      </c>
      <c r="M52" s="221" t="str">
        <f t="shared" si="17"/>
        <v xml:space="preserve"> </v>
      </c>
      <c r="N52" s="223"/>
      <c r="O52" s="223"/>
      <c r="P52" s="222" t="str">
        <f t="shared" si="18"/>
        <v xml:space="preserve"> </v>
      </c>
      <c r="Q52" s="220"/>
      <c r="R52" s="7" t="s">
        <v>58</v>
      </c>
      <c r="S52" s="31"/>
      <c r="T52" s="32"/>
      <c r="U52" s="1"/>
      <c r="V52" s="1"/>
      <c r="W52" s="1"/>
      <c r="X52" s="6"/>
      <c r="Y52" s="1"/>
      <c r="AA52" s="1"/>
      <c r="AB52" s="39" t="e">
        <f t="shared" si="19"/>
        <v>#VALUE!</v>
      </c>
      <c r="AC52" s="23" t="s">
        <v>2</v>
      </c>
      <c r="AD52" s="1"/>
      <c r="AE52" s="1"/>
      <c r="AF52" s="1"/>
      <c r="AG52" s="1"/>
      <c r="AH52" s="1"/>
      <c r="AI52" s="1"/>
      <c r="AJ52" s="1"/>
    </row>
    <row r="53" spans="1:36" ht="12" customHeight="1">
      <c r="A53" s="24" t="str">
        <f>IF($D$11=0,"-",IF($D$9/$D$11&lt;=500,300,IF($D$9/$D$11&lt;=1000,500,IF($D$9/$D$11&lt;=2000,1000,2000))))</f>
        <v>-</v>
      </c>
      <c r="B53" s="227" t="str">
        <f t="shared" si="20"/>
        <v xml:space="preserve"> </v>
      </c>
      <c r="C53" s="220"/>
      <c r="D53" s="38" t="str">
        <f t="shared" ref="D53:D57" si="22">IF(E53=0," ",IF(E53&lt;$D$9,E53/$D$11,E53/$D$12))</f>
        <v xml:space="preserve"> </v>
      </c>
      <c r="E53" s="230"/>
      <c r="F53" s="216"/>
      <c r="G53" s="229"/>
      <c r="H53" s="216"/>
      <c r="I53" s="221" t="str">
        <f t="shared" si="14"/>
        <v xml:space="preserve"> </v>
      </c>
      <c r="J53" s="220"/>
      <c r="K53" s="25">
        <f t="shared" si="21"/>
        <v>0</v>
      </c>
      <c r="L53" s="26">
        <f t="shared" si="16"/>
        <v>1.5</v>
      </c>
      <c r="M53" s="221" t="str">
        <f t="shared" si="17"/>
        <v xml:space="preserve"> </v>
      </c>
      <c r="N53" s="223"/>
      <c r="O53" s="223"/>
      <c r="P53" s="222" t="str">
        <f t="shared" si="18"/>
        <v xml:space="preserve"> </v>
      </c>
      <c r="Q53" s="220"/>
      <c r="R53" s="1"/>
      <c r="S53" s="31"/>
      <c r="T53" s="32"/>
      <c r="U53" s="1"/>
      <c r="V53" s="1"/>
      <c r="W53" s="1" t="s">
        <v>59</v>
      </c>
      <c r="X53" s="6"/>
      <c r="Y53" s="1"/>
      <c r="Z53" s="1"/>
      <c r="AA53" s="1"/>
      <c r="AB53" s="39" t="e">
        <f t="shared" si="19"/>
        <v>#VALUE!</v>
      </c>
      <c r="AC53" s="1"/>
      <c r="AD53" s="1"/>
      <c r="AE53" s="1"/>
      <c r="AF53" s="1"/>
      <c r="AG53" s="1"/>
      <c r="AH53" s="1"/>
      <c r="AI53" s="1"/>
      <c r="AJ53" s="8"/>
    </row>
    <row r="54" spans="1:36" ht="12" customHeight="1">
      <c r="A54" s="24">
        <f>IF($D$12=0,0,IF(B54&lt;$D$9,B54/$D$11,B54/$D$12))</f>
        <v>0</v>
      </c>
      <c r="B54" s="227" t="str">
        <f>IF($D$12=0," ",$D$9-$D$12)</f>
        <v xml:space="preserve"> </v>
      </c>
      <c r="C54" s="220"/>
      <c r="D54" s="38" t="str">
        <f t="shared" si="22"/>
        <v xml:space="preserve"> </v>
      </c>
      <c r="E54" s="230"/>
      <c r="F54" s="216"/>
      <c r="G54" s="229"/>
      <c r="H54" s="216"/>
      <c r="I54" s="221" t="str">
        <f t="shared" si="14"/>
        <v xml:space="preserve"> </v>
      </c>
      <c r="J54" s="220"/>
      <c r="K54" s="25">
        <f t="shared" ref="K54:K58" si="23">IF(D54="-",0,IF(E54&lt;$D$9,L54*$D$11,L54*$D$12))</f>
        <v>0</v>
      </c>
      <c r="L54" s="26">
        <f t="shared" si="16"/>
        <v>1.5</v>
      </c>
      <c r="M54" s="221" t="str">
        <f t="shared" si="17"/>
        <v xml:space="preserve"> </v>
      </c>
      <c r="N54" s="223"/>
      <c r="O54" s="223"/>
      <c r="P54" s="222" t="str">
        <f t="shared" si="18"/>
        <v xml:space="preserve"> </v>
      </c>
      <c r="Q54" s="220"/>
      <c r="R54" s="1"/>
      <c r="S54" s="1"/>
      <c r="T54" s="1"/>
      <c r="U54" s="1"/>
      <c r="V54" s="1"/>
      <c r="W54" s="1"/>
      <c r="X54" s="1"/>
      <c r="Y54" s="1"/>
      <c r="AA54" s="1"/>
      <c r="AB54" s="39" t="e">
        <f t="shared" si="19"/>
        <v>#VALUE!</v>
      </c>
      <c r="AC54" s="1"/>
      <c r="AD54" s="8"/>
      <c r="AE54" s="8"/>
      <c r="AF54" s="8"/>
      <c r="AG54" s="8"/>
      <c r="AH54" s="8"/>
      <c r="AI54" s="8"/>
      <c r="AJ54" s="1"/>
    </row>
    <row r="55" spans="1:36" ht="12" customHeight="1">
      <c r="A55" s="170"/>
      <c r="B55" s="227" t="str">
        <f t="shared" ref="B55:B56" si="24">IF(A55=0," ",A55*$D$12)</f>
        <v xml:space="preserve"> </v>
      </c>
      <c r="C55" s="220"/>
      <c r="D55" s="38" t="str">
        <f t="shared" si="22"/>
        <v xml:space="preserve"> </v>
      </c>
      <c r="E55" s="230"/>
      <c r="F55" s="216"/>
      <c r="G55" s="229"/>
      <c r="H55" s="216"/>
      <c r="I55" s="221" t="str">
        <f t="shared" si="14"/>
        <v xml:space="preserve"> </v>
      </c>
      <c r="J55" s="220"/>
      <c r="K55" s="25">
        <f t="shared" si="23"/>
        <v>0</v>
      </c>
      <c r="L55" s="26">
        <f t="shared" si="16"/>
        <v>1.5</v>
      </c>
      <c r="M55" s="221" t="str">
        <f t="shared" si="17"/>
        <v xml:space="preserve"> </v>
      </c>
      <c r="N55" s="223"/>
      <c r="O55" s="223"/>
      <c r="P55" s="222" t="str">
        <f t="shared" si="18"/>
        <v xml:space="preserve"> </v>
      </c>
      <c r="Q55" s="220"/>
      <c r="R55" s="7" t="s">
        <v>60</v>
      </c>
      <c r="S55" s="28"/>
      <c r="T55" s="40"/>
      <c r="U55" s="41"/>
      <c r="V55" s="42"/>
      <c r="W55" s="1" t="s">
        <v>61</v>
      </c>
      <c r="X55" s="43"/>
      <c r="Y55" s="1"/>
      <c r="AA55" s="1"/>
      <c r="AB55" s="39" t="e">
        <f t="shared" si="19"/>
        <v>#VALUE!</v>
      </c>
      <c r="AC55" s="1" t="s">
        <v>0</v>
      </c>
      <c r="AD55" s="44"/>
      <c r="AE55" s="44"/>
      <c r="AF55" s="44"/>
      <c r="AG55" s="44"/>
      <c r="AH55" s="44"/>
      <c r="AI55" s="44"/>
      <c r="AJ55" s="1"/>
    </row>
    <row r="56" spans="1:36" ht="12" customHeight="1">
      <c r="A56" s="170"/>
      <c r="B56" s="227" t="str">
        <f t="shared" si="24"/>
        <v xml:space="preserve"> </v>
      </c>
      <c r="C56" s="220"/>
      <c r="D56" s="38" t="str">
        <f t="shared" si="22"/>
        <v xml:space="preserve"> </v>
      </c>
      <c r="E56" s="230"/>
      <c r="F56" s="216"/>
      <c r="G56" s="229"/>
      <c r="H56" s="216"/>
      <c r="I56" s="221" t="str">
        <f>IF(G56=0," ",ROUND((G56-E56),4))</f>
        <v xml:space="preserve"> </v>
      </c>
      <c r="J56" s="220"/>
      <c r="K56" s="25">
        <f t="shared" si="23"/>
        <v>0</v>
      </c>
      <c r="L56" s="26">
        <f t="shared" si="16"/>
        <v>1.5</v>
      </c>
      <c r="M56" s="221" t="str">
        <f t="shared" si="17"/>
        <v xml:space="preserve"> </v>
      </c>
      <c r="N56" s="223"/>
      <c r="O56" s="223"/>
      <c r="P56" s="222" t="str">
        <f t="shared" si="18"/>
        <v xml:space="preserve"> </v>
      </c>
      <c r="Q56" s="220"/>
      <c r="R56" s="1" t="s">
        <v>62</v>
      </c>
      <c r="S56" s="1"/>
      <c r="T56" s="1"/>
      <c r="U56" s="1"/>
      <c r="V56" s="1"/>
      <c r="W56" s="1"/>
      <c r="X56" s="1"/>
      <c r="Y56" s="1"/>
      <c r="Z56" s="1"/>
      <c r="AA56" s="1"/>
      <c r="AB56" s="39" t="e">
        <f t="shared" si="19"/>
        <v>#VALUE!</v>
      </c>
      <c r="AC56" s="1"/>
      <c r="AD56" s="1"/>
      <c r="AE56" s="1"/>
      <c r="AF56" s="1"/>
      <c r="AG56" s="1"/>
      <c r="AH56" s="1"/>
      <c r="AI56" s="1"/>
      <c r="AJ56" s="1"/>
    </row>
    <row r="57" spans="1:36" ht="12" customHeight="1">
      <c r="A57" s="24">
        <f>IF($D$12=0,0,IF($D$10/$D$12&lt;=A56,"-",$D$10/$D$12))</f>
        <v>0</v>
      </c>
      <c r="B57" s="227" t="str">
        <f>IF($D$12=0," ",A57*$D$12)</f>
        <v xml:space="preserve"> </v>
      </c>
      <c r="C57" s="220"/>
      <c r="D57" s="38" t="str">
        <f t="shared" si="22"/>
        <v xml:space="preserve"> </v>
      </c>
      <c r="E57" s="230"/>
      <c r="F57" s="216"/>
      <c r="G57" s="229"/>
      <c r="H57" s="216"/>
      <c r="I57" s="221" t="str">
        <f>IF(G57=0," ",(G57-E57))</f>
        <v xml:space="preserve"> </v>
      </c>
      <c r="J57" s="220"/>
      <c r="K57" s="25">
        <f t="shared" si="23"/>
        <v>0</v>
      </c>
      <c r="L57" s="26">
        <f t="shared" si="16"/>
        <v>1.5</v>
      </c>
      <c r="M57" s="221" t="str">
        <f t="shared" si="17"/>
        <v xml:space="preserve"> </v>
      </c>
      <c r="N57" s="223"/>
      <c r="O57" s="223"/>
      <c r="P57" s="222" t="str">
        <f t="shared" si="18"/>
        <v xml:space="preserve"> </v>
      </c>
      <c r="Q57" s="220"/>
      <c r="R57" s="7" t="s">
        <v>63</v>
      </c>
      <c r="S57" s="28"/>
      <c r="T57" s="40"/>
      <c r="U57" s="41"/>
      <c r="V57" s="42"/>
      <c r="W57" s="43"/>
      <c r="X57" s="43"/>
      <c r="Y57" s="1"/>
      <c r="Z57" s="1"/>
      <c r="AA57" s="1"/>
      <c r="AB57" s="39" t="e">
        <f t="shared" si="19"/>
        <v>#VALUE!</v>
      </c>
      <c r="AC57" s="23" t="s">
        <v>2</v>
      </c>
      <c r="AD57" s="1"/>
      <c r="AE57" s="1"/>
      <c r="AF57" s="1"/>
      <c r="AG57" s="1"/>
      <c r="AH57" s="1"/>
      <c r="AI57" s="1"/>
      <c r="AJ57" s="1"/>
    </row>
    <row r="58" spans="1:36" ht="12" customHeight="1">
      <c r="A58" s="24">
        <f>A56</f>
        <v>0</v>
      </c>
      <c r="B58" s="228" t="str">
        <f t="shared" ref="B58:B59" si="25">IF($D$10=0," ",A58*$D$12)</f>
        <v xml:space="preserve"> </v>
      </c>
      <c r="C58" s="220"/>
      <c r="D58" s="38" t="str">
        <f t="shared" ref="D58:D64" si="26">IF(E58=0," ",E58/$D$12)</f>
        <v xml:space="preserve"> </v>
      </c>
      <c r="E58" s="228">
        <f>E56</f>
        <v>0</v>
      </c>
      <c r="F58" s="220"/>
      <c r="G58" s="229"/>
      <c r="H58" s="216"/>
      <c r="I58" s="221" t="str">
        <f>IF(G58=0," ",ROUND((G58-E58),4))</f>
        <v xml:space="preserve"> </v>
      </c>
      <c r="J58" s="220"/>
      <c r="K58" s="25">
        <f t="shared" si="23"/>
        <v>0</v>
      </c>
      <c r="L58" s="26">
        <f t="shared" si="16"/>
        <v>1.5</v>
      </c>
      <c r="M58" s="221" t="str">
        <f t="shared" si="17"/>
        <v xml:space="preserve"> </v>
      </c>
      <c r="N58" s="223"/>
      <c r="O58" s="223"/>
      <c r="P58" s="222" t="str">
        <f t="shared" si="18"/>
        <v xml:space="preserve"> </v>
      </c>
      <c r="Q58" s="220"/>
      <c r="R58" s="1" t="s">
        <v>64</v>
      </c>
      <c r="S58" s="1"/>
      <c r="T58" s="1"/>
      <c r="U58" s="1"/>
      <c r="V58" s="1"/>
      <c r="W58" s="1"/>
      <c r="X58" s="1" t="s">
        <v>65</v>
      </c>
      <c r="Y58" s="1"/>
      <c r="Z58" s="1"/>
      <c r="AA58" s="1"/>
      <c r="AB58" s="39" t="e">
        <f t="shared" ref="AB58:AB64" si="27">IF(ABS(M58)&lt;=0.5*$D$12,1,2)</f>
        <v>#VALUE!</v>
      </c>
      <c r="AC58" s="1"/>
      <c r="AD58" s="8"/>
      <c r="AE58" s="8"/>
      <c r="AF58" s="8"/>
      <c r="AG58" s="8"/>
      <c r="AH58" s="8"/>
      <c r="AI58" s="1"/>
      <c r="AJ58" s="1"/>
    </row>
    <row r="59" spans="1:36" ht="12" customHeight="1">
      <c r="A59" s="24">
        <f>A55</f>
        <v>0</v>
      </c>
      <c r="B59" s="227" t="str">
        <f t="shared" si="25"/>
        <v xml:space="preserve"> </v>
      </c>
      <c r="C59" s="220"/>
      <c r="D59" s="38" t="str">
        <f t="shared" si="26"/>
        <v xml:space="preserve"> </v>
      </c>
      <c r="E59" s="228">
        <f>E55</f>
        <v>0</v>
      </c>
      <c r="F59" s="220"/>
      <c r="G59" s="229"/>
      <c r="H59" s="216"/>
      <c r="I59" s="221" t="str">
        <f t="shared" ref="I59:I62" si="28">IF(G59=0," ",(G59-E59))</f>
        <v xml:space="preserve"> </v>
      </c>
      <c r="J59" s="220"/>
      <c r="K59" s="25">
        <f t="shared" ref="K59:K64" si="29">IF(D59="-",0,L59*$D$12)</f>
        <v>0</v>
      </c>
      <c r="L59" s="26">
        <f t="shared" si="16"/>
        <v>1.5</v>
      </c>
      <c r="M59" s="221" t="str">
        <f t="shared" si="17"/>
        <v xml:space="preserve"> </v>
      </c>
      <c r="N59" s="223"/>
      <c r="O59" s="223"/>
      <c r="P59" s="222" t="str">
        <f t="shared" si="18"/>
        <v xml:space="preserve"> </v>
      </c>
      <c r="Q59" s="220"/>
      <c r="R59" s="1" t="s">
        <v>66</v>
      </c>
      <c r="S59" s="23"/>
      <c r="T59" s="23"/>
      <c r="U59" s="23"/>
      <c r="V59" s="23"/>
      <c r="W59" s="23"/>
      <c r="X59" s="23"/>
      <c r="Y59" s="23"/>
      <c r="Z59" s="23"/>
      <c r="AA59" s="1"/>
      <c r="AB59" s="39" t="e">
        <f t="shared" si="27"/>
        <v>#VALUE!</v>
      </c>
      <c r="AC59" s="1"/>
      <c r="AD59" s="44"/>
      <c r="AE59" s="44"/>
      <c r="AF59" s="44"/>
      <c r="AG59" s="44"/>
      <c r="AH59" s="44"/>
      <c r="AI59" s="1"/>
      <c r="AJ59" s="1"/>
    </row>
    <row r="60" spans="1:36" ht="12" customHeight="1">
      <c r="A60" s="24" t="str">
        <f t="shared" ref="A60:A64" si="30">IF($D$11=0,"-",B60/$D$12)</f>
        <v>-</v>
      </c>
      <c r="B60" s="227" t="str">
        <f>IF($D$11=0," ",B54)</f>
        <v xml:space="preserve"> </v>
      </c>
      <c r="C60" s="220"/>
      <c r="D60" s="38" t="str">
        <f t="shared" si="26"/>
        <v xml:space="preserve"> </v>
      </c>
      <c r="E60" s="228">
        <f>E54</f>
        <v>0</v>
      </c>
      <c r="F60" s="220"/>
      <c r="G60" s="229"/>
      <c r="H60" s="216"/>
      <c r="I60" s="221" t="str">
        <f t="shared" si="28"/>
        <v xml:space="preserve"> </v>
      </c>
      <c r="J60" s="220"/>
      <c r="K60" s="25">
        <f t="shared" si="29"/>
        <v>0</v>
      </c>
      <c r="L60" s="26">
        <f t="shared" si="16"/>
        <v>1.5</v>
      </c>
      <c r="M60" s="221" t="str">
        <f t="shared" si="17"/>
        <v xml:space="preserve"> </v>
      </c>
      <c r="N60" s="223"/>
      <c r="O60" s="223"/>
      <c r="P60" s="222" t="str">
        <f t="shared" si="18"/>
        <v xml:space="preserve"> </v>
      </c>
      <c r="Q60" s="220"/>
      <c r="R60" s="45" t="s">
        <v>67</v>
      </c>
      <c r="S60" s="1"/>
      <c r="T60" s="1"/>
      <c r="U60" s="1"/>
      <c r="V60" s="1"/>
      <c r="W60" s="1"/>
      <c r="X60" s="1"/>
      <c r="Y60" s="1"/>
      <c r="Z60" s="1"/>
      <c r="AA60" s="1"/>
      <c r="AB60" s="39" t="e">
        <f t="shared" si="27"/>
        <v>#VALUE!</v>
      </c>
      <c r="AC60" s="1" t="s">
        <v>0</v>
      </c>
      <c r="AD60" s="1"/>
      <c r="AE60" s="1"/>
      <c r="AF60" s="1"/>
      <c r="AG60" s="1"/>
      <c r="AH60" s="1"/>
      <c r="AI60" s="1"/>
      <c r="AJ60" s="1"/>
    </row>
    <row r="61" spans="1:36" ht="12" customHeight="1">
      <c r="A61" s="24" t="str">
        <f t="shared" si="30"/>
        <v>-</v>
      </c>
      <c r="B61" s="227" t="str">
        <f>IF($D$11=0," ",B53)</f>
        <v xml:space="preserve"> </v>
      </c>
      <c r="C61" s="220"/>
      <c r="D61" s="38" t="str">
        <f t="shared" si="26"/>
        <v xml:space="preserve"> </v>
      </c>
      <c r="E61" s="228">
        <f>E53</f>
        <v>0</v>
      </c>
      <c r="F61" s="220"/>
      <c r="G61" s="229"/>
      <c r="H61" s="216"/>
      <c r="I61" s="221" t="str">
        <f t="shared" si="28"/>
        <v xml:space="preserve"> </v>
      </c>
      <c r="J61" s="220"/>
      <c r="K61" s="25">
        <f t="shared" si="29"/>
        <v>0</v>
      </c>
      <c r="L61" s="26">
        <f t="shared" si="16"/>
        <v>1.5</v>
      </c>
      <c r="M61" s="221" t="str">
        <f t="shared" si="17"/>
        <v xml:space="preserve"> </v>
      </c>
      <c r="N61" s="223"/>
      <c r="O61" s="223"/>
      <c r="P61" s="222" t="str">
        <f t="shared" si="18"/>
        <v xml:space="preserve"> </v>
      </c>
      <c r="Q61" s="220"/>
      <c r="R61" s="45" t="s">
        <v>68</v>
      </c>
      <c r="S61" s="1"/>
      <c r="T61" s="1"/>
      <c r="U61" s="1"/>
      <c r="V61" s="1"/>
      <c r="W61" s="1"/>
      <c r="X61" s="1"/>
      <c r="Y61" s="1"/>
      <c r="Z61" s="1"/>
      <c r="AA61" s="1"/>
      <c r="AB61" s="39" t="e">
        <f t="shared" si="27"/>
        <v>#VALUE!</v>
      </c>
      <c r="AC61" s="1"/>
      <c r="AD61" s="1"/>
      <c r="AE61" s="1"/>
      <c r="AF61" s="1"/>
      <c r="AG61" s="1"/>
      <c r="AH61" s="1"/>
      <c r="AI61" s="1"/>
      <c r="AJ61" s="1"/>
    </row>
    <row r="62" spans="1:36" ht="12" customHeight="1">
      <c r="A62" s="24" t="str">
        <f t="shared" si="30"/>
        <v>-</v>
      </c>
      <c r="B62" s="227" t="str">
        <f>IF($D$11=0," ",B52)</f>
        <v xml:space="preserve"> </v>
      </c>
      <c r="C62" s="220"/>
      <c r="D62" s="38" t="str">
        <f t="shared" si="26"/>
        <v xml:space="preserve"> </v>
      </c>
      <c r="E62" s="228">
        <f>E52</f>
        <v>0</v>
      </c>
      <c r="F62" s="220"/>
      <c r="G62" s="229"/>
      <c r="H62" s="216"/>
      <c r="I62" s="221" t="str">
        <f t="shared" si="28"/>
        <v xml:space="preserve"> </v>
      </c>
      <c r="J62" s="220"/>
      <c r="K62" s="25">
        <f t="shared" si="29"/>
        <v>0</v>
      </c>
      <c r="L62" s="26">
        <f t="shared" si="16"/>
        <v>1.5</v>
      </c>
      <c r="M62" s="221" t="str">
        <f t="shared" si="17"/>
        <v xml:space="preserve"> </v>
      </c>
      <c r="N62" s="223"/>
      <c r="O62" s="223"/>
      <c r="P62" s="222" t="str">
        <f t="shared" si="18"/>
        <v xml:space="preserve"> </v>
      </c>
      <c r="Q62" s="220"/>
      <c r="R62" s="45" t="s">
        <v>69</v>
      </c>
      <c r="S62" s="1"/>
      <c r="T62" s="1"/>
      <c r="U62" s="1"/>
      <c r="V62" s="1"/>
      <c r="W62" s="1"/>
      <c r="X62" s="1"/>
      <c r="Y62" s="1"/>
      <c r="Z62" s="1"/>
      <c r="AA62" s="1"/>
      <c r="AB62" s="39" t="e">
        <f t="shared" si="27"/>
        <v>#VALUE!</v>
      </c>
      <c r="AC62" s="1"/>
      <c r="AD62" s="1"/>
      <c r="AE62" s="1"/>
      <c r="AF62" s="1"/>
      <c r="AG62" s="1"/>
      <c r="AH62" s="1"/>
      <c r="AI62" s="1"/>
      <c r="AJ62" s="1"/>
    </row>
    <row r="63" spans="1:36" ht="12" customHeight="1">
      <c r="A63" s="24" t="str">
        <f t="shared" si="30"/>
        <v>-</v>
      </c>
      <c r="B63" s="227" t="str">
        <f>IF($D$11=0," ",B51)</f>
        <v xml:space="preserve"> </v>
      </c>
      <c r="C63" s="220"/>
      <c r="D63" s="38" t="str">
        <f t="shared" si="26"/>
        <v xml:space="preserve"> </v>
      </c>
      <c r="E63" s="228">
        <f>E51</f>
        <v>0</v>
      </c>
      <c r="F63" s="220"/>
      <c r="G63" s="229"/>
      <c r="H63" s="216"/>
      <c r="I63" s="221" t="str">
        <f>IF(G63=0," ",ROUND((G63-E63),4))</f>
        <v xml:space="preserve"> </v>
      </c>
      <c r="J63" s="220"/>
      <c r="K63" s="25">
        <f t="shared" si="29"/>
        <v>0</v>
      </c>
      <c r="L63" s="26">
        <f t="shared" si="16"/>
        <v>1.5</v>
      </c>
      <c r="M63" s="221" t="str">
        <f t="shared" si="17"/>
        <v xml:space="preserve"> </v>
      </c>
      <c r="N63" s="223"/>
      <c r="O63" s="223"/>
      <c r="P63" s="222" t="str">
        <f t="shared" si="18"/>
        <v xml:space="preserve"> </v>
      </c>
      <c r="Q63" s="220"/>
      <c r="R63" s="45" t="s">
        <v>70</v>
      </c>
      <c r="S63" s="46"/>
      <c r="T63" s="1"/>
      <c r="U63" s="1"/>
      <c r="V63" s="1"/>
      <c r="W63" s="1"/>
      <c r="X63" s="1"/>
      <c r="Y63" s="1"/>
      <c r="Z63" s="1"/>
      <c r="AA63" s="1"/>
      <c r="AB63" s="39" t="e">
        <f t="shared" si="27"/>
        <v>#VALUE!</v>
      </c>
      <c r="AC63" s="23" t="s">
        <v>2</v>
      </c>
      <c r="AD63" s="1"/>
      <c r="AE63" s="1"/>
      <c r="AF63" s="1"/>
      <c r="AG63" s="1"/>
      <c r="AH63" s="1"/>
      <c r="AI63" s="1"/>
      <c r="AJ63" s="1"/>
    </row>
    <row r="64" spans="1:36" ht="12" customHeight="1">
      <c r="A64" s="24" t="str">
        <f t="shared" si="30"/>
        <v>-</v>
      </c>
      <c r="B64" s="227" t="str">
        <f>IF($D$11=0," ",B50)</f>
        <v xml:space="preserve"> </v>
      </c>
      <c r="C64" s="220"/>
      <c r="D64" s="38" t="str">
        <f t="shared" si="26"/>
        <v xml:space="preserve"> </v>
      </c>
      <c r="E64" s="228">
        <f>E50</f>
        <v>0</v>
      </c>
      <c r="F64" s="220"/>
      <c r="G64" s="229"/>
      <c r="H64" s="216"/>
      <c r="I64" s="221" t="str">
        <f>IF(G64=0," ",(G64-E64))</f>
        <v xml:space="preserve"> </v>
      </c>
      <c r="J64" s="220"/>
      <c r="K64" s="25">
        <f t="shared" si="29"/>
        <v>0</v>
      </c>
      <c r="L64" s="26">
        <f t="shared" si="16"/>
        <v>1.5</v>
      </c>
      <c r="M64" s="221" t="str">
        <f t="shared" si="17"/>
        <v xml:space="preserve"> </v>
      </c>
      <c r="N64" s="223"/>
      <c r="O64" s="223"/>
      <c r="P64" s="222" t="str">
        <f t="shared" si="18"/>
        <v xml:space="preserve"> </v>
      </c>
      <c r="Q64" s="220"/>
      <c r="R64" s="45" t="s">
        <v>71</v>
      </c>
      <c r="S64" s="46"/>
      <c r="T64" s="1"/>
      <c r="U64" s="1"/>
      <c r="V64" s="1"/>
      <c r="W64" s="1"/>
      <c r="X64" s="1"/>
      <c r="Y64" s="1"/>
      <c r="Z64" s="1"/>
      <c r="AA64" s="1"/>
      <c r="AB64" s="39" t="e">
        <f t="shared" si="27"/>
        <v>#VALUE!</v>
      </c>
      <c r="AC64" s="1"/>
      <c r="AD64" s="1"/>
      <c r="AE64" s="1"/>
      <c r="AF64" s="1"/>
      <c r="AG64" s="1"/>
      <c r="AH64" s="1"/>
      <c r="AI64" s="1"/>
      <c r="AJ64" s="1"/>
    </row>
    <row r="65" spans="1:36" ht="12" customHeight="1">
      <c r="A65" s="1"/>
      <c r="B65" s="1"/>
      <c r="C65" s="1"/>
      <c r="D65" s="1"/>
      <c r="E65" s="1"/>
      <c r="F65" s="1"/>
      <c r="G65" s="1"/>
      <c r="H65" s="1"/>
      <c r="I65" s="1"/>
      <c r="J65" s="1"/>
      <c r="K65" s="1"/>
      <c r="L65" s="224" t="str">
        <f>IF($D$14="English","Test passed?","Test bestanden?")</f>
        <v>Test passed?</v>
      </c>
      <c r="M65" s="225"/>
      <c r="N65" s="225"/>
      <c r="O65" s="226"/>
      <c r="P65" s="222" t="str">
        <f>IF(AND(P50="Y",P51= "Y", P52="Y",P53="Y",P61="Y",P62="Y",P63="Y",P64="Y",P54="Y",P55="Y",P56="Y",P57="Y",P58="Y",P59="Y",P60="Y"),"Y","N")</f>
        <v>N</v>
      </c>
      <c r="Q65" s="220"/>
      <c r="R65" s="45"/>
      <c r="S65" s="46"/>
      <c r="T65" s="1"/>
      <c r="U65" s="1"/>
      <c r="V65" s="1"/>
      <c r="W65" s="1"/>
      <c r="X65" s="1"/>
      <c r="Y65" s="1"/>
      <c r="Z65" s="1"/>
      <c r="AA65" s="1"/>
      <c r="AB65" s="1"/>
      <c r="AC65" s="1"/>
      <c r="AD65" s="1"/>
      <c r="AE65" s="1"/>
      <c r="AF65" s="1"/>
      <c r="AG65" s="1"/>
      <c r="AH65" s="1"/>
      <c r="AI65" s="1"/>
      <c r="AJ65" s="1"/>
    </row>
    <row r="66" spans="1:36" ht="12" customHeight="1">
      <c r="A66" s="28"/>
      <c r="B66" s="31"/>
      <c r="C66" s="32"/>
      <c r="D66" s="1"/>
      <c r="E66" s="1"/>
      <c r="F66" s="1"/>
      <c r="G66" s="1"/>
      <c r="H66" s="1"/>
      <c r="I66" s="1"/>
      <c r="J66" s="1"/>
      <c r="K66" s="1"/>
      <c r="L66" s="1"/>
      <c r="M66" s="1"/>
      <c r="N66" s="1"/>
      <c r="O66" s="1"/>
      <c r="P66" s="1"/>
      <c r="Q66" s="1"/>
      <c r="R66" s="1"/>
      <c r="S66" s="45"/>
      <c r="T66" s="46"/>
      <c r="U66" s="1"/>
      <c r="V66" s="1"/>
      <c r="W66" s="1"/>
      <c r="X66" s="1"/>
      <c r="Y66" s="1"/>
      <c r="Z66" s="1"/>
      <c r="AA66" s="1"/>
      <c r="AB66" s="1"/>
      <c r="AC66" s="1"/>
      <c r="AD66" s="1"/>
      <c r="AE66" s="1"/>
      <c r="AF66" s="1"/>
      <c r="AG66" s="1"/>
      <c r="AH66" s="1"/>
      <c r="AI66" s="1"/>
      <c r="AJ66" s="1"/>
    </row>
    <row r="67" spans="1:36" ht="12" customHeight="1">
      <c r="A67" s="257" t="str">
        <f>IF($D$14="English","If the maximum calculated error in Weighing Test is less or equal to 0,5e, no additional Tare Test has to be performed. ","Wenn der kalkulierte maximale Fehler im Linearitätstest kleiner oder gleich 0,5e ist, muss kein zusätzlich Tara Test durchgeführt werden. ")</f>
        <v xml:space="preserve">If the maximum calculated error in Weighing Test is less or equal to 0,5e, no additional Tare Test has to be performed. </v>
      </c>
      <c r="B67" s="237"/>
      <c r="C67" s="237"/>
      <c r="D67" s="237"/>
      <c r="E67" s="237"/>
      <c r="F67" s="237"/>
      <c r="G67" s="237"/>
      <c r="H67" s="237"/>
      <c r="I67" s="237"/>
      <c r="J67" s="237"/>
      <c r="K67" s="237"/>
      <c r="L67" s="237"/>
      <c r="M67" s="237"/>
      <c r="N67" s="237"/>
      <c r="O67" s="237"/>
      <c r="P67" s="237"/>
      <c r="Q67" s="1"/>
      <c r="R67" s="1"/>
      <c r="S67" s="1"/>
      <c r="T67" s="1"/>
      <c r="U67" s="1"/>
      <c r="V67" s="1"/>
      <c r="W67" s="1"/>
      <c r="X67" s="1"/>
      <c r="Y67" s="1"/>
      <c r="Z67" s="1"/>
      <c r="AA67" s="1"/>
      <c r="AB67" s="1"/>
      <c r="AC67" s="1"/>
      <c r="AD67" s="1"/>
      <c r="AE67" s="1"/>
      <c r="AF67" s="1"/>
      <c r="AG67" s="1"/>
      <c r="AH67" s="1"/>
      <c r="AI67" s="1"/>
      <c r="AJ67" s="1"/>
    </row>
    <row r="68" spans="1:36" ht="12" customHeight="1">
      <c r="A68" s="237"/>
      <c r="B68" s="237"/>
      <c r="C68" s="237"/>
      <c r="D68" s="237"/>
      <c r="E68" s="237"/>
      <c r="F68" s="237"/>
      <c r="G68" s="237"/>
      <c r="H68" s="237"/>
      <c r="I68" s="237"/>
      <c r="J68" s="237"/>
      <c r="K68" s="237"/>
      <c r="L68" s="237"/>
      <c r="M68" s="237"/>
      <c r="N68" s="237"/>
      <c r="O68" s="237"/>
      <c r="P68" s="237"/>
      <c r="Q68" s="1"/>
      <c r="R68" s="1"/>
      <c r="S68" s="1"/>
      <c r="T68" s="1"/>
      <c r="U68" s="1"/>
      <c r="V68" s="1"/>
      <c r="W68" s="1"/>
      <c r="X68" s="1"/>
      <c r="Y68" s="1"/>
      <c r="Z68" s="1"/>
      <c r="AA68" s="1"/>
      <c r="AB68" s="1"/>
      <c r="AC68" s="1"/>
      <c r="AD68" s="1"/>
      <c r="AE68" s="1"/>
      <c r="AF68" s="1"/>
      <c r="AG68" s="1"/>
      <c r="AH68" s="1"/>
      <c r="AI68" s="1"/>
      <c r="AJ68" s="1"/>
    </row>
    <row r="69" spans="1:36" ht="12" customHeight="1">
      <c r="A69" s="48" t="str">
        <f>IF($D$14="English","Does Test 5 have to be performed? ","Muss Test 5 durchgeführt werden? ")</f>
        <v xml:space="preserve">Does Test 5 have to be performed? </v>
      </c>
      <c r="B69" s="39"/>
      <c r="C69" s="39"/>
      <c r="D69" s="39"/>
      <c r="E69" s="39"/>
      <c r="F69" s="27" t="e">
        <f>IF(AND(AB50=1,AB51=1,AB52=1,AB53=1,AB54=1,AB55=1,AB56=1,AB57=1,AB58=1,AB59=1,AB60=1,AB61=1,AB62=1,AB63=1,AB64=1),"N","Y")</f>
        <v>#VALUE!</v>
      </c>
      <c r="G69" s="39"/>
      <c r="H69" s="49"/>
      <c r="I69" s="39"/>
      <c r="J69" s="39"/>
      <c r="K69" s="39"/>
      <c r="L69" s="39"/>
      <c r="M69" s="39"/>
      <c r="N69" s="39"/>
      <c r="O69" s="39"/>
      <c r="P69" s="39"/>
      <c r="Q69" s="1"/>
      <c r="R69" s="1"/>
      <c r="S69" s="1"/>
      <c r="T69" s="1"/>
      <c r="U69" s="1"/>
      <c r="V69" s="1"/>
      <c r="W69" s="1"/>
      <c r="X69" s="1"/>
      <c r="Y69" s="1"/>
      <c r="Z69" s="1"/>
      <c r="AA69" s="1"/>
      <c r="AB69" s="1"/>
      <c r="AC69" s="1"/>
      <c r="AD69" s="1"/>
      <c r="AE69" s="1"/>
      <c r="AF69" s="1"/>
      <c r="AG69" s="1"/>
      <c r="AH69" s="1"/>
      <c r="AI69" s="1"/>
      <c r="AJ69" s="1"/>
    </row>
    <row r="70" spans="1:36" ht="12" customHeight="1">
      <c r="A70" s="39"/>
      <c r="B70" s="39"/>
      <c r="C70" s="39"/>
      <c r="D70" s="39"/>
      <c r="E70" s="39"/>
      <c r="F70" s="39"/>
      <c r="G70" s="39"/>
      <c r="H70" s="39"/>
      <c r="I70" s="39"/>
      <c r="J70" s="39"/>
      <c r="K70" s="39"/>
      <c r="L70" s="39"/>
      <c r="M70" s="39"/>
      <c r="N70" s="39"/>
      <c r="O70" s="39"/>
      <c r="P70" s="39"/>
      <c r="Q70" s="1"/>
      <c r="R70" s="1"/>
      <c r="S70" s="1"/>
      <c r="T70" s="1"/>
      <c r="U70" s="1"/>
      <c r="V70" s="1"/>
      <c r="W70" s="1"/>
      <c r="X70" s="1"/>
      <c r="Y70" s="1"/>
      <c r="Z70" s="1"/>
      <c r="AA70" s="1"/>
      <c r="AB70" s="1"/>
      <c r="AC70" s="1"/>
      <c r="AD70" s="1"/>
      <c r="AE70" s="1"/>
      <c r="AF70" s="1"/>
      <c r="AG70" s="1"/>
      <c r="AH70" s="1"/>
      <c r="AI70" s="1"/>
      <c r="AJ70" s="1"/>
    </row>
    <row r="71" spans="1:36" ht="12" customHeight="1">
      <c r="A71" s="7" t="str">
        <f>IF($D$14="English","5.  Tare (Weighing Test) - Indicator in hi-res mode:","5. Tara (Richtigkeitsprüfung) - Indikator in Hi-Res-Modus:")</f>
        <v>5.  Tare (Weighing Test) - Indicator in hi-res mode:</v>
      </c>
      <c r="B71" s="50"/>
      <c r="C71" s="50"/>
      <c r="D71" s="50"/>
      <c r="E71" s="50"/>
      <c r="F71" s="50"/>
      <c r="G71" s="50"/>
      <c r="H71" s="1" t="str">
        <f>IF($D$14="English","accordance to EN45501-2015, A.4.6.1","gemäß EN45501-2015, A.4.6.1")</f>
        <v>accordance to EN45501-2015, A.4.6.1</v>
      </c>
      <c r="I71" s="50"/>
      <c r="J71" s="50"/>
      <c r="K71" s="50"/>
      <c r="L71" s="50"/>
      <c r="M71" s="50"/>
      <c r="N71" s="50"/>
      <c r="O71" s="50"/>
      <c r="P71" s="50"/>
      <c r="Q71" s="1"/>
      <c r="R71" s="1"/>
      <c r="S71" s="1"/>
      <c r="T71" s="1"/>
      <c r="U71" s="1"/>
      <c r="V71" s="1"/>
      <c r="W71" s="1"/>
      <c r="X71" s="1"/>
      <c r="Y71" s="1"/>
      <c r="Z71" s="1"/>
      <c r="AA71" s="1"/>
      <c r="AB71" s="1"/>
      <c r="AC71" s="1"/>
      <c r="AD71" s="1"/>
      <c r="AE71" s="1"/>
      <c r="AF71" s="1"/>
      <c r="AG71" s="1"/>
      <c r="AH71" s="1"/>
      <c r="AI71" s="1"/>
      <c r="AJ71" s="1"/>
    </row>
    <row r="72" spans="1:36" ht="12" customHeight="1">
      <c r="A72" s="258" t="str">
        <f>IF($D$14="English","Tare a load between 1/3 Max and 2/3 Max and test up to Max.at 5 load points. Please test at the loads where mpe changes.","Last zwischen 1/3 und 2/3 Max tarieren und bis zur Maximallast bei 5 Lastpunkten prüfen. Bei den Lasten, bei denen sich mpe ändert, muss geprüft werden. ")</f>
        <v>Tare a load between 1/3 Max and 2/3 Max and test up to Max.at 5 load points. Please test at the loads where mpe changes.</v>
      </c>
      <c r="B72" s="237"/>
      <c r="C72" s="237"/>
      <c r="D72" s="237"/>
      <c r="E72" s="237"/>
      <c r="F72" s="237"/>
      <c r="G72" s="237"/>
      <c r="H72" s="237"/>
      <c r="I72" s="237"/>
      <c r="J72" s="237"/>
      <c r="K72" s="237"/>
      <c r="L72" s="237"/>
      <c r="M72" s="237"/>
      <c r="N72" s="237"/>
      <c r="O72" s="237"/>
      <c r="P72" s="237"/>
      <c r="Q72" s="1"/>
      <c r="R72" s="1"/>
      <c r="S72" s="1"/>
      <c r="T72" s="1"/>
      <c r="U72" s="1"/>
      <c r="V72" s="1"/>
      <c r="W72" s="1"/>
      <c r="X72" s="1"/>
      <c r="Y72" s="1"/>
      <c r="Z72" s="1"/>
      <c r="AA72" s="1"/>
      <c r="AB72" s="1"/>
      <c r="AC72" s="1"/>
      <c r="AD72" s="1"/>
      <c r="AE72" s="1"/>
      <c r="AF72" s="1"/>
      <c r="AG72" s="1"/>
      <c r="AH72" s="1"/>
      <c r="AI72" s="1"/>
      <c r="AJ72" s="1"/>
    </row>
    <row r="73" spans="1:36" ht="12" customHeight="1">
      <c r="A73" s="237"/>
      <c r="B73" s="237"/>
      <c r="C73" s="237"/>
      <c r="D73" s="237"/>
      <c r="E73" s="237"/>
      <c r="F73" s="237"/>
      <c r="G73" s="237"/>
      <c r="H73" s="237"/>
      <c r="I73" s="237"/>
      <c r="J73" s="237"/>
      <c r="K73" s="237"/>
      <c r="L73" s="237"/>
      <c r="M73" s="237"/>
      <c r="N73" s="237"/>
      <c r="O73" s="237"/>
      <c r="P73" s="237"/>
      <c r="Q73" s="1"/>
      <c r="R73" s="1"/>
      <c r="S73" s="1"/>
      <c r="T73" s="1"/>
      <c r="U73" s="1"/>
      <c r="V73" s="1"/>
      <c r="W73" s="1"/>
      <c r="X73" s="1"/>
      <c r="Y73" s="1"/>
      <c r="Z73" s="1"/>
      <c r="AA73" s="1"/>
      <c r="AB73" s="1"/>
      <c r="AC73" s="1"/>
      <c r="AD73" s="1"/>
      <c r="AE73" s="1"/>
      <c r="AF73" s="1"/>
      <c r="AG73" s="1"/>
      <c r="AH73" s="1"/>
      <c r="AI73" s="1"/>
      <c r="AJ73" s="1"/>
    </row>
    <row r="74" spans="1:36" ht="12" customHeight="1">
      <c r="A74" s="7" t="str">
        <f>IF($D$14="English","Tared load:","Tarierte Last:")</f>
        <v>Tared load:</v>
      </c>
      <c r="B74" s="31"/>
      <c r="C74" s="217"/>
      <c r="D74" s="216"/>
      <c r="E74" s="1" t="s">
        <v>33</v>
      </c>
      <c r="F74" s="1"/>
      <c r="G74" s="6"/>
      <c r="H74" s="1"/>
      <c r="J74" s="17"/>
      <c r="K74" s="1"/>
      <c r="L74" s="1"/>
      <c r="M74" s="1"/>
      <c r="N74" s="1"/>
      <c r="O74" s="1"/>
      <c r="P74" s="1"/>
      <c r="Q74" s="1"/>
      <c r="R74" s="1"/>
      <c r="S74" s="1"/>
      <c r="T74" s="1"/>
      <c r="U74" s="1"/>
      <c r="V74" s="1"/>
      <c r="W74" s="1"/>
      <c r="X74" s="1"/>
      <c r="Y74" s="1"/>
      <c r="Z74" s="1"/>
      <c r="AA74" s="1"/>
      <c r="AB74" s="1"/>
      <c r="AC74" s="1"/>
      <c r="AD74" s="1"/>
      <c r="AE74" s="1"/>
      <c r="AF74" s="1"/>
      <c r="AG74" s="1"/>
      <c r="AH74" s="1"/>
      <c r="AI74" s="1"/>
      <c r="AJ74" s="1"/>
    </row>
    <row r="75" spans="1:36" ht="12" customHeight="1">
      <c r="A75" s="231" t="s">
        <v>26</v>
      </c>
      <c r="B75" s="223"/>
      <c r="C75" s="220"/>
      <c r="D75" s="19" t="s">
        <v>72</v>
      </c>
      <c r="E75" s="231" t="s">
        <v>27</v>
      </c>
      <c r="F75" s="220"/>
      <c r="G75" s="231" t="s">
        <v>73</v>
      </c>
      <c r="H75" s="220"/>
      <c r="I75" s="231" t="s">
        <v>29</v>
      </c>
      <c r="J75" s="223"/>
      <c r="K75" s="220"/>
      <c r="L75" s="232" t="s">
        <v>74</v>
      </c>
      <c r="M75" s="223"/>
      <c r="N75" s="220"/>
      <c r="O75" s="231" t="s">
        <v>30</v>
      </c>
      <c r="P75" s="220"/>
      <c r="Q75" s="1"/>
      <c r="R75" s="1"/>
      <c r="S75" s="1"/>
      <c r="T75" s="1"/>
      <c r="U75" s="1"/>
      <c r="V75" s="1"/>
      <c r="W75" s="1"/>
      <c r="X75" s="1"/>
      <c r="Y75" s="1"/>
      <c r="Z75" s="1"/>
      <c r="AA75" s="1"/>
      <c r="AB75" s="1"/>
      <c r="AC75" s="1"/>
      <c r="AD75" s="1"/>
      <c r="AE75" s="1"/>
      <c r="AF75" s="1"/>
      <c r="AG75" s="1"/>
      <c r="AH75" s="1"/>
      <c r="AI75" s="1"/>
      <c r="AJ75" s="1"/>
    </row>
    <row r="76" spans="1:36" ht="12" customHeight="1">
      <c r="A76" s="259" t="s">
        <v>33</v>
      </c>
      <c r="B76" s="223"/>
      <c r="C76" s="220"/>
      <c r="D76" s="51"/>
      <c r="E76" s="231" t="s">
        <v>33</v>
      </c>
      <c r="F76" s="220"/>
      <c r="G76" s="256" t="s">
        <v>33</v>
      </c>
      <c r="H76" s="220"/>
      <c r="I76" s="256" t="s">
        <v>33</v>
      </c>
      <c r="J76" s="220"/>
      <c r="K76" s="52" t="s">
        <v>32</v>
      </c>
      <c r="L76" s="231" t="s">
        <v>33</v>
      </c>
      <c r="M76" s="223"/>
      <c r="N76" s="220"/>
      <c r="O76" s="231" t="s">
        <v>34</v>
      </c>
      <c r="P76" s="220"/>
      <c r="Q76" s="1"/>
      <c r="R76" s="1"/>
      <c r="S76" s="1"/>
      <c r="T76" s="1"/>
      <c r="U76" s="1"/>
      <c r="V76" s="1"/>
      <c r="W76" s="1"/>
      <c r="X76" s="1"/>
      <c r="Y76" s="1"/>
      <c r="Z76" s="1"/>
      <c r="AA76" s="1"/>
      <c r="AB76" s="1"/>
      <c r="AC76" s="1"/>
      <c r="AD76" s="1"/>
      <c r="AE76" s="1"/>
      <c r="AF76" s="1"/>
      <c r="AG76" s="1"/>
      <c r="AH76" s="1"/>
      <c r="AI76" s="1"/>
      <c r="AJ76" s="1"/>
    </row>
    <row r="77" spans="1:36" ht="12" customHeight="1">
      <c r="A77" s="217"/>
      <c r="B77" s="215"/>
      <c r="C77" s="216"/>
      <c r="D77" s="51" t="str">
        <f t="shared" ref="D77:D85" si="31">IF($D$10=0," ",IF(A77&lt;=$D$9,A77/$D$11,A77/$D$12))</f>
        <v xml:space="preserve"> </v>
      </c>
      <c r="E77" s="218"/>
      <c r="F77" s="216"/>
      <c r="G77" s="219" t="str">
        <f t="shared" ref="G77:G85" si="32">IF($A77=0," ",IF($D$10=0," ",E77-A77))</f>
        <v xml:space="preserve"> </v>
      </c>
      <c r="H77" s="220"/>
      <c r="I77" s="221" t="str">
        <f t="shared" ref="I77:I81" si="33">IF($D$10=0," ",IF(A77&lt;=$D$9,K77*$D$11,K77*$D$12))</f>
        <v xml:space="preserve"> </v>
      </c>
      <c r="J77" s="220"/>
      <c r="K77" s="26">
        <f t="shared" ref="K77:K85" si="34">IF(D77=0,0,IF(D77&lt;=500,0.5,(IF(D77&lt;=2000,1,IF(D77&gt;2000,1.5," ")))))</f>
        <v>1.5</v>
      </c>
      <c r="L77" s="221" t="str">
        <f t="shared" ref="L77:L85" si="35">IF(E77=0," ",IF($E$42=" "," ",ROUND(G77-$E$42,4)))</f>
        <v xml:space="preserve"> </v>
      </c>
      <c r="M77" s="223"/>
      <c r="N77" s="220"/>
      <c r="O77" s="222" t="str">
        <f t="shared" ref="O77:O85" si="36">IF(L77=" "," ",IF(ABS(L77)&lt;=I77,"Y","N"))</f>
        <v xml:space="preserve"> </v>
      </c>
      <c r="P77" s="220"/>
      <c r="Q77" s="1"/>
      <c r="R77" s="1"/>
      <c r="S77" s="1"/>
      <c r="T77" s="1"/>
      <c r="U77" s="1"/>
      <c r="V77" s="1"/>
      <c r="W77" s="1"/>
      <c r="X77" s="1"/>
      <c r="Y77" s="1"/>
      <c r="Z77" s="1"/>
      <c r="AA77" s="1"/>
      <c r="AB77" s="1"/>
      <c r="AC77" s="1"/>
      <c r="AD77" s="1"/>
      <c r="AE77" s="1"/>
      <c r="AF77" s="1"/>
      <c r="AG77" s="1"/>
      <c r="AH77" s="1"/>
      <c r="AI77" s="1"/>
      <c r="AJ77" s="1"/>
    </row>
    <row r="78" spans="1:36" ht="12" customHeight="1">
      <c r="A78" s="217"/>
      <c r="B78" s="215"/>
      <c r="C78" s="216"/>
      <c r="D78" s="51" t="str">
        <f t="shared" si="31"/>
        <v xml:space="preserve"> </v>
      </c>
      <c r="E78" s="218"/>
      <c r="F78" s="216"/>
      <c r="G78" s="219" t="str">
        <f t="shared" si="32"/>
        <v xml:space="preserve"> </v>
      </c>
      <c r="H78" s="220"/>
      <c r="I78" s="221" t="str">
        <f t="shared" si="33"/>
        <v xml:space="preserve"> </v>
      </c>
      <c r="J78" s="220"/>
      <c r="K78" s="26">
        <f t="shared" si="34"/>
        <v>1.5</v>
      </c>
      <c r="L78" s="221" t="str">
        <f t="shared" si="35"/>
        <v xml:space="preserve"> </v>
      </c>
      <c r="M78" s="223"/>
      <c r="N78" s="220"/>
      <c r="O78" s="222" t="str">
        <f t="shared" si="36"/>
        <v xml:space="preserve"> </v>
      </c>
      <c r="P78" s="220"/>
      <c r="Q78" s="1"/>
      <c r="R78" s="1"/>
      <c r="S78" s="1"/>
      <c r="T78" s="1"/>
      <c r="U78" s="1"/>
      <c r="V78" s="1"/>
      <c r="W78" s="1"/>
      <c r="X78" s="1"/>
      <c r="Y78" s="1"/>
      <c r="Z78" s="1"/>
      <c r="AA78" s="1"/>
      <c r="AB78" s="1"/>
      <c r="AC78" s="1"/>
      <c r="AD78" s="1"/>
      <c r="AE78" s="1"/>
      <c r="AF78" s="1"/>
      <c r="AG78" s="1"/>
      <c r="AH78" s="1"/>
      <c r="AI78" s="1"/>
      <c r="AJ78" s="1"/>
    </row>
    <row r="79" spans="1:36" ht="12" customHeight="1">
      <c r="A79" s="217"/>
      <c r="B79" s="215"/>
      <c r="C79" s="216"/>
      <c r="D79" s="51" t="str">
        <f t="shared" si="31"/>
        <v xml:space="preserve"> </v>
      </c>
      <c r="E79" s="218"/>
      <c r="F79" s="216"/>
      <c r="G79" s="219" t="str">
        <f t="shared" si="32"/>
        <v xml:space="preserve"> </v>
      </c>
      <c r="H79" s="220"/>
      <c r="I79" s="221" t="str">
        <f t="shared" si="33"/>
        <v xml:space="preserve"> </v>
      </c>
      <c r="J79" s="220"/>
      <c r="K79" s="26">
        <f t="shared" si="34"/>
        <v>1.5</v>
      </c>
      <c r="L79" s="221" t="str">
        <f t="shared" si="35"/>
        <v xml:space="preserve"> </v>
      </c>
      <c r="M79" s="223"/>
      <c r="N79" s="220"/>
      <c r="O79" s="222" t="str">
        <f t="shared" si="36"/>
        <v xml:space="preserve"> </v>
      </c>
      <c r="P79" s="220"/>
      <c r="Q79" s="1"/>
      <c r="R79" s="1"/>
      <c r="S79" s="1"/>
      <c r="T79" s="1"/>
      <c r="U79" s="1"/>
      <c r="V79" s="1"/>
      <c r="W79" s="1"/>
      <c r="X79" s="1"/>
      <c r="Y79" s="1"/>
      <c r="Z79" s="1"/>
      <c r="AA79" s="1"/>
      <c r="AB79" s="1"/>
      <c r="AC79" s="1"/>
      <c r="AD79" s="1"/>
      <c r="AE79" s="1"/>
      <c r="AF79" s="1"/>
      <c r="AG79" s="1"/>
      <c r="AH79" s="1"/>
      <c r="AI79" s="1"/>
      <c r="AJ79" s="1"/>
    </row>
    <row r="80" spans="1:36" ht="12" customHeight="1">
      <c r="A80" s="217"/>
      <c r="B80" s="215"/>
      <c r="C80" s="216"/>
      <c r="D80" s="51" t="str">
        <f t="shared" si="31"/>
        <v xml:space="preserve"> </v>
      </c>
      <c r="E80" s="218"/>
      <c r="F80" s="216"/>
      <c r="G80" s="219" t="str">
        <f t="shared" si="32"/>
        <v xml:space="preserve"> </v>
      </c>
      <c r="H80" s="220"/>
      <c r="I80" s="221" t="str">
        <f t="shared" si="33"/>
        <v xml:space="preserve"> </v>
      </c>
      <c r="J80" s="220"/>
      <c r="K80" s="26">
        <f t="shared" si="34"/>
        <v>1.5</v>
      </c>
      <c r="L80" s="221" t="str">
        <f t="shared" si="35"/>
        <v xml:space="preserve"> </v>
      </c>
      <c r="M80" s="223"/>
      <c r="N80" s="220"/>
      <c r="O80" s="222" t="str">
        <f t="shared" si="36"/>
        <v xml:space="preserve"> </v>
      </c>
      <c r="P80" s="220"/>
      <c r="Q80" s="1"/>
      <c r="R80" s="1"/>
      <c r="S80" s="1"/>
      <c r="T80" s="1"/>
      <c r="U80" s="1"/>
      <c r="V80" s="1"/>
      <c r="W80" s="1"/>
      <c r="X80" s="1"/>
      <c r="Y80" s="1"/>
      <c r="Z80" s="1"/>
      <c r="AA80" s="1"/>
      <c r="AB80" s="1"/>
      <c r="AC80" s="1"/>
      <c r="AD80" s="1"/>
      <c r="AE80" s="1"/>
      <c r="AF80" s="1"/>
      <c r="AG80" s="1"/>
      <c r="AH80" s="1"/>
      <c r="AI80" s="1"/>
      <c r="AJ80" s="1"/>
    </row>
    <row r="81" spans="1:36" ht="12" customHeight="1">
      <c r="A81" s="217"/>
      <c r="B81" s="215"/>
      <c r="C81" s="216"/>
      <c r="D81" s="51" t="str">
        <f t="shared" si="31"/>
        <v xml:space="preserve"> </v>
      </c>
      <c r="E81" s="218"/>
      <c r="F81" s="216"/>
      <c r="G81" s="219" t="str">
        <f t="shared" si="32"/>
        <v xml:space="preserve"> </v>
      </c>
      <c r="H81" s="220"/>
      <c r="I81" s="221" t="str">
        <f t="shared" si="33"/>
        <v xml:space="preserve"> </v>
      </c>
      <c r="J81" s="220"/>
      <c r="K81" s="26">
        <f t="shared" si="34"/>
        <v>1.5</v>
      </c>
      <c r="L81" s="221" t="str">
        <f t="shared" si="35"/>
        <v xml:space="preserve"> </v>
      </c>
      <c r="M81" s="223"/>
      <c r="N81" s="220"/>
      <c r="O81" s="222" t="str">
        <f t="shared" si="36"/>
        <v xml:space="preserve"> </v>
      </c>
      <c r="P81" s="220"/>
      <c r="Q81" s="1"/>
      <c r="R81" s="1"/>
      <c r="S81" s="1"/>
      <c r="T81" s="1"/>
      <c r="U81" s="1"/>
      <c r="V81" s="1"/>
      <c r="W81" s="1"/>
      <c r="X81" s="1"/>
      <c r="Y81" s="1"/>
      <c r="Z81" s="1"/>
      <c r="AA81" s="1"/>
      <c r="AB81" s="1"/>
      <c r="AC81" s="1"/>
      <c r="AD81" s="1"/>
      <c r="AE81" s="1"/>
      <c r="AF81" s="1"/>
      <c r="AG81" s="1"/>
      <c r="AH81" s="1"/>
      <c r="AI81" s="1"/>
      <c r="AJ81" s="1"/>
    </row>
    <row r="82" spans="1:36" ht="12" customHeight="1">
      <c r="A82" s="266">
        <f>A80</f>
        <v>0</v>
      </c>
      <c r="B82" s="223"/>
      <c r="C82" s="220"/>
      <c r="D82" s="51" t="str">
        <f t="shared" si="31"/>
        <v xml:space="preserve"> </v>
      </c>
      <c r="E82" s="218"/>
      <c r="F82" s="216"/>
      <c r="G82" s="219" t="str">
        <f t="shared" si="32"/>
        <v xml:space="preserve"> </v>
      </c>
      <c r="H82" s="220"/>
      <c r="I82" s="221" t="str">
        <f t="shared" ref="I82:I85" si="37">IF($D$10=0," ",IF($A$81&lt;=$D$9,K82*$D$11,K82*$D$12))</f>
        <v xml:space="preserve"> </v>
      </c>
      <c r="J82" s="220"/>
      <c r="K82" s="26">
        <f t="shared" si="34"/>
        <v>1.5</v>
      </c>
      <c r="L82" s="221" t="str">
        <f t="shared" si="35"/>
        <v xml:space="preserve"> </v>
      </c>
      <c r="M82" s="223"/>
      <c r="N82" s="220"/>
      <c r="O82" s="222" t="str">
        <f t="shared" si="36"/>
        <v xml:space="preserve"> </v>
      </c>
      <c r="P82" s="220"/>
      <c r="Q82" s="17"/>
      <c r="R82" s="17"/>
      <c r="S82" s="1"/>
      <c r="T82" s="1"/>
      <c r="U82" s="1"/>
      <c r="V82" s="1"/>
      <c r="W82" s="1"/>
      <c r="X82" s="1"/>
      <c r="Y82" s="1"/>
      <c r="Z82" s="1"/>
      <c r="AA82" s="1"/>
      <c r="AB82" s="1"/>
      <c r="AC82" s="1"/>
      <c r="AD82" s="1"/>
      <c r="AE82" s="1"/>
      <c r="AF82" s="1"/>
      <c r="AG82" s="1"/>
      <c r="AH82" s="1"/>
      <c r="AI82" s="1"/>
      <c r="AJ82" s="1"/>
    </row>
    <row r="83" spans="1:36" ht="12" customHeight="1">
      <c r="A83" s="266">
        <f>A79</f>
        <v>0</v>
      </c>
      <c r="B83" s="223"/>
      <c r="C83" s="220"/>
      <c r="D83" s="51" t="str">
        <f t="shared" si="31"/>
        <v xml:space="preserve"> </v>
      </c>
      <c r="E83" s="218"/>
      <c r="F83" s="216"/>
      <c r="G83" s="219" t="str">
        <f t="shared" si="32"/>
        <v xml:space="preserve"> </v>
      </c>
      <c r="H83" s="220"/>
      <c r="I83" s="221" t="str">
        <f t="shared" si="37"/>
        <v xml:space="preserve"> </v>
      </c>
      <c r="J83" s="220"/>
      <c r="K83" s="26">
        <f t="shared" si="34"/>
        <v>1.5</v>
      </c>
      <c r="L83" s="221" t="str">
        <f t="shared" si="35"/>
        <v xml:space="preserve"> </v>
      </c>
      <c r="M83" s="223"/>
      <c r="N83" s="220"/>
      <c r="O83" s="222" t="str">
        <f t="shared" si="36"/>
        <v xml:space="preserve"> </v>
      </c>
      <c r="P83" s="220"/>
      <c r="Q83" s="17"/>
      <c r="R83" s="17"/>
      <c r="S83" s="1"/>
      <c r="T83" s="1"/>
      <c r="U83" s="1"/>
      <c r="V83" s="1"/>
      <c r="W83" s="1"/>
      <c r="X83" s="1"/>
      <c r="Y83" s="1"/>
      <c r="Z83" s="1"/>
      <c r="AA83" s="1"/>
      <c r="AB83" s="1"/>
      <c r="AC83" s="1"/>
      <c r="AD83" s="1"/>
      <c r="AE83" s="1"/>
      <c r="AF83" s="1"/>
      <c r="AG83" s="1"/>
      <c r="AH83" s="1"/>
      <c r="AI83" s="1"/>
      <c r="AJ83" s="1"/>
    </row>
    <row r="84" spans="1:36" ht="12" customHeight="1">
      <c r="A84" s="266">
        <f>A78</f>
        <v>0</v>
      </c>
      <c r="B84" s="223"/>
      <c r="C84" s="220"/>
      <c r="D84" s="51" t="str">
        <f t="shared" si="31"/>
        <v xml:space="preserve"> </v>
      </c>
      <c r="E84" s="218"/>
      <c r="F84" s="216"/>
      <c r="G84" s="219" t="str">
        <f t="shared" si="32"/>
        <v xml:space="preserve"> </v>
      </c>
      <c r="H84" s="220"/>
      <c r="I84" s="221" t="str">
        <f t="shared" si="37"/>
        <v xml:space="preserve"> </v>
      </c>
      <c r="J84" s="220"/>
      <c r="K84" s="26">
        <f t="shared" si="34"/>
        <v>1.5</v>
      </c>
      <c r="L84" s="221" t="str">
        <f t="shared" si="35"/>
        <v xml:space="preserve"> </v>
      </c>
      <c r="M84" s="223"/>
      <c r="N84" s="220"/>
      <c r="O84" s="222" t="str">
        <f t="shared" si="36"/>
        <v xml:space="preserve"> </v>
      </c>
      <c r="P84" s="220"/>
      <c r="Q84" s="17"/>
      <c r="R84" s="17"/>
      <c r="S84" s="1"/>
      <c r="T84" s="1"/>
      <c r="U84" s="1"/>
      <c r="V84" s="1"/>
      <c r="W84" s="1"/>
      <c r="X84" s="1"/>
      <c r="Y84" s="1"/>
      <c r="Z84" s="1"/>
      <c r="AA84" s="1"/>
      <c r="AB84" s="1"/>
      <c r="AC84" s="1"/>
      <c r="AD84" s="1"/>
      <c r="AE84" s="1"/>
      <c r="AF84" s="1"/>
      <c r="AG84" s="1"/>
      <c r="AH84" s="1"/>
      <c r="AI84" s="1"/>
      <c r="AJ84" s="1"/>
    </row>
    <row r="85" spans="1:36" ht="12" customHeight="1">
      <c r="A85" s="266">
        <f>A77</f>
        <v>0</v>
      </c>
      <c r="B85" s="223"/>
      <c r="C85" s="220"/>
      <c r="D85" s="51" t="str">
        <f t="shared" si="31"/>
        <v xml:space="preserve"> </v>
      </c>
      <c r="E85" s="218"/>
      <c r="F85" s="216"/>
      <c r="G85" s="219" t="str">
        <f t="shared" si="32"/>
        <v xml:space="preserve"> </v>
      </c>
      <c r="H85" s="220"/>
      <c r="I85" s="221" t="str">
        <f t="shared" si="37"/>
        <v xml:space="preserve"> </v>
      </c>
      <c r="J85" s="220"/>
      <c r="K85" s="26">
        <f t="shared" si="34"/>
        <v>1.5</v>
      </c>
      <c r="L85" s="221" t="str">
        <f t="shared" si="35"/>
        <v xml:space="preserve"> </v>
      </c>
      <c r="M85" s="223"/>
      <c r="N85" s="220"/>
      <c r="O85" s="222" t="str">
        <f t="shared" si="36"/>
        <v xml:space="preserve"> </v>
      </c>
      <c r="P85" s="220"/>
      <c r="Q85" s="17"/>
      <c r="R85" s="17"/>
      <c r="S85" s="1"/>
      <c r="T85" s="1"/>
      <c r="U85" s="1"/>
      <c r="V85" s="1"/>
      <c r="W85" s="1"/>
      <c r="X85" s="1"/>
      <c r="Y85" s="1"/>
      <c r="Z85" s="1"/>
      <c r="AA85" s="1"/>
      <c r="AB85" s="1"/>
      <c r="AC85" s="1"/>
      <c r="AD85" s="1"/>
      <c r="AE85" s="1"/>
      <c r="AF85" s="1"/>
      <c r="AG85" s="1"/>
      <c r="AH85" s="1"/>
      <c r="AI85" s="1"/>
      <c r="AJ85" s="1"/>
    </row>
    <row r="86" spans="1:36" ht="12" customHeight="1">
      <c r="A86" s="1"/>
      <c r="B86" s="53"/>
      <c r="C86" s="40"/>
      <c r="D86" s="1"/>
      <c r="E86" s="1"/>
      <c r="F86" s="1"/>
      <c r="G86" s="31"/>
      <c r="H86" s="31"/>
      <c r="I86" s="1"/>
      <c r="J86" s="1"/>
      <c r="K86" s="1"/>
      <c r="L86" s="54"/>
      <c r="M86" s="6" t="str">
        <f>IF($D$14="English","Test passed?","Test bestanden?")</f>
        <v>Test passed?</v>
      </c>
      <c r="N86" s="1"/>
      <c r="O86" s="222" t="str">
        <f>IF(AND(O77="Y",O78="Y",O79="Y",O80="Y",O81="Y",O82="Y",O83="Y",O84="Y",O85="Y"),"Y","N")</f>
        <v>N</v>
      </c>
      <c r="P86" s="220"/>
      <c r="Q86" s="1"/>
      <c r="R86" s="1"/>
      <c r="S86" s="1"/>
      <c r="T86" s="1"/>
      <c r="U86" s="1"/>
      <c r="V86" s="1"/>
      <c r="W86" s="1"/>
      <c r="X86" s="1"/>
      <c r="Y86" s="1"/>
      <c r="Z86" s="1"/>
      <c r="AA86" s="1"/>
      <c r="AB86" s="1"/>
      <c r="AC86" s="1"/>
      <c r="AD86" s="1"/>
      <c r="AE86" s="1"/>
      <c r="AF86" s="1"/>
      <c r="AG86" s="1"/>
      <c r="AH86" s="1"/>
      <c r="AI86" s="1"/>
      <c r="AJ86" s="1"/>
    </row>
    <row r="87" spans="1:36" ht="12" customHeight="1">
      <c r="A87" s="47"/>
      <c r="B87" s="50"/>
      <c r="C87" s="50"/>
      <c r="D87" s="50"/>
      <c r="E87" s="50"/>
      <c r="F87" s="50"/>
      <c r="G87" s="50"/>
      <c r="H87" s="50"/>
      <c r="I87" s="50"/>
      <c r="J87" s="50"/>
      <c r="K87" s="50"/>
      <c r="L87" s="50"/>
      <c r="M87" s="50"/>
      <c r="N87" s="50"/>
      <c r="O87" s="50"/>
      <c r="P87" s="50"/>
      <c r="Q87" s="1"/>
      <c r="R87" s="1"/>
      <c r="S87" s="1"/>
      <c r="T87" s="1"/>
      <c r="U87" s="1"/>
      <c r="V87" s="1"/>
      <c r="W87" s="1"/>
      <c r="X87" s="1"/>
      <c r="Y87" s="1"/>
      <c r="Z87" s="1"/>
      <c r="AA87" s="1"/>
      <c r="AB87" s="1"/>
      <c r="AC87" s="1"/>
      <c r="AD87" s="1"/>
      <c r="AE87" s="1"/>
      <c r="AF87" s="1"/>
      <c r="AG87" s="1"/>
      <c r="AH87" s="1"/>
      <c r="AI87" s="1"/>
      <c r="AJ87" s="1"/>
    </row>
    <row r="88" spans="1:36" ht="12" customHeight="1">
      <c r="A88" s="28"/>
      <c r="B88" s="31"/>
      <c r="C88" s="32"/>
      <c r="D88" s="1"/>
      <c r="E88" s="1"/>
      <c r="F88" s="1"/>
      <c r="G88" s="1"/>
      <c r="H88" s="1"/>
      <c r="I88" s="1"/>
      <c r="J88" s="1"/>
      <c r="K88" s="1"/>
      <c r="L88" s="1"/>
      <c r="M88" s="1"/>
      <c r="N88" s="1"/>
      <c r="O88" s="1"/>
      <c r="P88" s="1"/>
      <c r="Q88" s="1"/>
      <c r="R88" s="1"/>
      <c r="S88" s="45"/>
      <c r="T88" s="46"/>
      <c r="U88" s="1"/>
      <c r="V88" s="1"/>
      <c r="W88" s="1"/>
      <c r="X88" s="1"/>
      <c r="Y88" s="1"/>
      <c r="Z88" s="1"/>
      <c r="AA88" s="1"/>
      <c r="AB88" s="1"/>
      <c r="AC88" s="1"/>
      <c r="AD88" s="1"/>
      <c r="AE88" s="1"/>
      <c r="AF88" s="1"/>
      <c r="AG88" s="1"/>
      <c r="AH88" s="1"/>
      <c r="AI88" s="1"/>
      <c r="AJ88" s="1"/>
    </row>
    <row r="89" spans="1:36" ht="12" customHeight="1">
      <c r="A89" s="28"/>
      <c r="B89" s="31"/>
      <c r="C89" s="32"/>
      <c r="D89" s="1"/>
      <c r="E89" s="1"/>
      <c r="F89" s="1"/>
      <c r="G89" s="1"/>
      <c r="H89" s="1"/>
      <c r="I89" s="1"/>
      <c r="J89" s="1"/>
      <c r="K89" s="1"/>
      <c r="L89" s="1"/>
      <c r="M89" s="1"/>
      <c r="N89" s="1"/>
      <c r="O89" s="1"/>
      <c r="P89" s="1"/>
      <c r="Q89" s="1"/>
      <c r="R89" s="1"/>
      <c r="S89" s="45"/>
      <c r="T89" s="46"/>
      <c r="U89" s="1"/>
      <c r="V89" s="1"/>
      <c r="W89" s="1"/>
      <c r="X89" s="1"/>
      <c r="Y89" s="1"/>
      <c r="Z89" s="1"/>
      <c r="AA89" s="1"/>
      <c r="AB89" s="1"/>
      <c r="AC89" s="1"/>
      <c r="AD89" s="1"/>
      <c r="AE89" s="1"/>
      <c r="AF89" s="1"/>
      <c r="AG89" s="1"/>
      <c r="AH89" s="1"/>
      <c r="AI89" s="1"/>
      <c r="AJ89" s="1"/>
    </row>
    <row r="90" spans="1:36" ht="12" customHeight="1">
      <c r="A90" s="28"/>
      <c r="B90" s="31"/>
      <c r="C90" s="32"/>
      <c r="D90" s="1"/>
      <c r="E90" s="1"/>
      <c r="F90" s="1"/>
      <c r="G90" s="1"/>
      <c r="H90" s="1"/>
      <c r="I90" s="1"/>
      <c r="J90" s="1"/>
      <c r="K90" s="1"/>
      <c r="L90" s="1"/>
      <c r="M90" s="1"/>
      <c r="N90" s="1"/>
      <c r="O90" s="1"/>
      <c r="P90" s="1"/>
      <c r="Q90" s="1"/>
      <c r="R90" s="1"/>
      <c r="S90" s="45"/>
      <c r="T90" s="46"/>
      <c r="U90" s="1"/>
      <c r="V90" s="1"/>
      <c r="W90" s="1"/>
      <c r="X90" s="1"/>
      <c r="Y90" s="1"/>
      <c r="Z90" s="1"/>
      <c r="AA90" s="1"/>
      <c r="AB90" s="1"/>
      <c r="AC90" s="1"/>
      <c r="AD90" s="1"/>
      <c r="AE90" s="1"/>
      <c r="AF90" s="1"/>
      <c r="AG90" s="1"/>
      <c r="AH90" s="1"/>
      <c r="AI90" s="1"/>
      <c r="AJ90" s="1"/>
    </row>
    <row r="91" spans="1:36" ht="12" customHeight="1">
      <c r="A91" s="28"/>
      <c r="B91" s="31"/>
      <c r="C91" s="32"/>
      <c r="D91" s="1"/>
      <c r="E91" s="1"/>
      <c r="F91" s="1"/>
      <c r="G91" s="1"/>
      <c r="H91" s="1"/>
      <c r="I91" s="1"/>
      <c r="J91" s="1"/>
      <c r="K91" s="1"/>
      <c r="L91" s="1"/>
      <c r="M91" s="1"/>
      <c r="N91" s="1"/>
      <c r="O91" s="1"/>
      <c r="P91" s="1"/>
      <c r="Q91" s="1"/>
      <c r="R91" s="1"/>
      <c r="S91" s="45"/>
      <c r="T91" s="46"/>
      <c r="U91" s="1"/>
      <c r="V91" s="1"/>
      <c r="W91" s="1"/>
      <c r="X91" s="1"/>
      <c r="Y91" s="1"/>
      <c r="Z91" s="1"/>
      <c r="AA91" s="1"/>
      <c r="AB91" s="1"/>
      <c r="AC91" s="1"/>
      <c r="AD91" s="1"/>
      <c r="AE91" s="1"/>
      <c r="AF91" s="1"/>
      <c r="AG91" s="1"/>
      <c r="AH91" s="1"/>
      <c r="AI91" s="1"/>
      <c r="AJ91" s="1"/>
    </row>
    <row r="92" spans="1:36" ht="12" customHeight="1">
      <c r="A92" s="28"/>
      <c r="B92" s="31"/>
      <c r="C92" s="32"/>
      <c r="D92" s="1"/>
      <c r="E92" s="1"/>
      <c r="F92" s="1"/>
      <c r="G92" s="1"/>
      <c r="H92" s="1"/>
      <c r="I92" s="1"/>
      <c r="J92" s="1"/>
      <c r="K92" s="1"/>
      <c r="L92" s="1"/>
      <c r="M92" s="1"/>
      <c r="N92" s="1"/>
      <c r="O92" s="1"/>
      <c r="P92" s="1"/>
      <c r="Q92" s="1"/>
      <c r="R92" s="1"/>
      <c r="S92" s="45"/>
      <c r="T92" s="46"/>
      <c r="U92" s="1"/>
      <c r="V92" s="1"/>
      <c r="W92" s="1"/>
      <c r="X92" s="1"/>
      <c r="Y92" s="1"/>
      <c r="Z92" s="1"/>
      <c r="AA92" s="1"/>
      <c r="AB92" s="1"/>
      <c r="AC92" s="1"/>
      <c r="AD92" s="1"/>
      <c r="AE92" s="1"/>
      <c r="AF92" s="1"/>
      <c r="AG92" s="1"/>
      <c r="AH92" s="1"/>
      <c r="AI92" s="1"/>
      <c r="AJ92" s="1"/>
    </row>
    <row r="93" spans="1:36" ht="12" customHeight="1">
      <c r="A93" s="28"/>
      <c r="B93" s="31"/>
      <c r="C93" s="32"/>
      <c r="D93" s="1"/>
      <c r="E93" s="1"/>
      <c r="F93" s="1"/>
      <c r="G93" s="1"/>
      <c r="H93" s="1"/>
      <c r="I93" s="1"/>
      <c r="J93" s="1"/>
      <c r="K93" s="1"/>
      <c r="L93" s="1"/>
      <c r="M93" s="1"/>
      <c r="N93" s="1"/>
      <c r="O93" s="1"/>
      <c r="P93" s="1"/>
      <c r="Q93" s="1"/>
      <c r="R93" s="1"/>
      <c r="S93" s="7" t="s">
        <v>75</v>
      </c>
      <c r="T93" s="1"/>
      <c r="U93" s="1"/>
      <c r="V93" s="1"/>
      <c r="W93" s="1"/>
      <c r="X93" s="1"/>
      <c r="Y93" s="1"/>
      <c r="Z93" s="1"/>
      <c r="AA93" s="1"/>
      <c r="AB93" s="1"/>
      <c r="AC93" s="1"/>
      <c r="AD93" s="1"/>
      <c r="AE93" s="1"/>
      <c r="AF93" s="1"/>
      <c r="AG93" s="1"/>
      <c r="AH93" s="1"/>
      <c r="AI93" s="1"/>
      <c r="AJ93" s="1"/>
    </row>
    <row r="94" spans="1:36" ht="12" customHeight="1">
      <c r="A94" s="28"/>
      <c r="B94" s="31"/>
      <c r="C94" s="32"/>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row>
    <row r="95" spans="1:36" ht="15" customHeight="1">
      <c r="A95" s="28"/>
      <c r="B95" s="31"/>
      <c r="C95" s="32"/>
      <c r="D95" s="1"/>
      <c r="E95" s="1"/>
      <c r="F95" s="1"/>
      <c r="G95" s="6"/>
      <c r="J95" s="17"/>
      <c r="K95" s="1"/>
      <c r="L95" s="1"/>
      <c r="M95" s="1"/>
      <c r="N95" s="1"/>
      <c r="O95" s="1"/>
      <c r="P95" s="1"/>
      <c r="Q95" s="1"/>
      <c r="R95" s="1"/>
      <c r="S95" s="1"/>
      <c r="T95" s="1"/>
      <c r="U95" s="1"/>
      <c r="V95" s="1"/>
      <c r="W95" s="1"/>
      <c r="X95" s="1"/>
      <c r="Y95" s="1"/>
      <c r="Z95" s="1"/>
      <c r="AA95" s="1"/>
      <c r="AB95" s="1"/>
      <c r="AC95" s="1"/>
      <c r="AD95" s="1"/>
      <c r="AE95" s="1"/>
      <c r="AF95" s="1"/>
      <c r="AG95" s="1"/>
      <c r="AH95" s="1"/>
      <c r="AI95" s="1"/>
      <c r="AJ95" s="1"/>
    </row>
    <row r="96" spans="1:36" ht="12" customHeight="1">
      <c r="A96" s="7" t="str">
        <f>IF($D$14="English","6.  Eccentricity Test (Indicator in hi-res mode)","6.  Prüfung bei Außermittiger Belastung (Indicator in hi-res mode)")</f>
        <v>6.  Eccentricity Test (Indicator in hi-res mode)</v>
      </c>
      <c r="B96" s="1"/>
      <c r="C96" s="6"/>
      <c r="D96" s="8"/>
      <c r="E96" s="8"/>
      <c r="F96" s="1"/>
      <c r="G96" s="1"/>
      <c r="H96" s="1" t="str">
        <f>IF($D$14="English","accordance to EN45501-2015, A.4.7","gemäß EN45501-2015, A.4.7")</f>
        <v>accordance to EN45501-2015, A.4.7</v>
      </c>
      <c r="I96" s="1"/>
      <c r="J96" s="1"/>
      <c r="K96" s="1"/>
      <c r="L96" s="6"/>
      <c r="M96" s="6"/>
      <c r="N96" s="1"/>
      <c r="O96" s="1"/>
      <c r="P96" s="1"/>
      <c r="Q96" s="1"/>
      <c r="R96" s="1"/>
      <c r="S96" s="1"/>
      <c r="T96" s="1"/>
      <c r="U96" s="1"/>
      <c r="V96" s="1"/>
      <c r="W96" s="1"/>
      <c r="X96" s="1"/>
      <c r="Y96" s="1"/>
      <c r="Z96" s="1"/>
      <c r="AA96" s="1"/>
      <c r="AB96" s="1"/>
      <c r="AC96" s="1"/>
      <c r="AD96" s="1"/>
      <c r="AE96" s="1"/>
      <c r="AF96" s="1"/>
      <c r="AG96" s="1"/>
      <c r="AH96" s="1"/>
      <c r="AI96" s="1"/>
      <c r="AJ96" s="1"/>
    </row>
    <row r="97" spans="1:36" ht="12" customHeight="1">
      <c r="A97" s="7"/>
      <c r="B97" s="7" t="str">
        <f>IF($D$14="English","Load position","Belastungsort")</f>
        <v>Load position</v>
      </c>
      <c r="C97" s="1"/>
      <c r="D97" s="1"/>
      <c r="E97" s="1"/>
      <c r="F97" s="1"/>
      <c r="G97" s="1"/>
      <c r="H97" s="1"/>
      <c r="I97" s="1"/>
      <c r="J97" s="1"/>
      <c r="K97" s="1"/>
      <c r="L97" s="1"/>
      <c r="M97" s="1"/>
      <c r="N97" s="1"/>
      <c r="O97" s="1"/>
      <c r="P97" s="1"/>
      <c r="R97" s="1"/>
      <c r="S97" s="1"/>
      <c r="T97" s="1"/>
      <c r="U97" s="1"/>
      <c r="V97" s="1"/>
      <c r="W97" s="1"/>
      <c r="X97" s="1"/>
      <c r="Y97" s="1"/>
      <c r="Z97" s="1"/>
      <c r="AA97" s="1"/>
      <c r="AB97" s="1"/>
      <c r="AC97" s="1"/>
      <c r="AD97" s="1"/>
      <c r="AE97" s="1"/>
      <c r="AF97" s="1"/>
      <c r="AG97" s="1"/>
      <c r="AH97" s="1"/>
      <c r="AI97" s="1"/>
      <c r="AJ97" s="1"/>
    </row>
    <row r="98" spans="1:36" ht="12" customHeight="1">
      <c r="A98" s="7"/>
      <c r="B98" s="55">
        <v>1</v>
      </c>
      <c r="C98" s="56"/>
      <c r="D98" s="57">
        <f>IF($Q$104="Y",2,4)</f>
        <v>4</v>
      </c>
      <c r="E98" s="58"/>
      <c r="F98" s="57" t="str">
        <f>IF(AND($G$104=4,Q104="N")," ",IF($Q$104="Y",3,5))</f>
        <v xml:space="preserve"> </v>
      </c>
      <c r="G98" s="56"/>
      <c r="H98" s="57" t="str">
        <f>IF(AND(OR($G$104=4,$G$104=6),Q104="N")," ",IF($Q$104="Y",4,8))</f>
        <v xml:space="preserve"> </v>
      </c>
      <c r="I98" s="56"/>
      <c r="J98" s="57" t="str">
        <f>IF(AND(OR($G$104=4,$G$104=6,$G$104=8),$Q$104="N")," ",IF($Q$104="Y"," ",9))</f>
        <v xml:space="preserve"> </v>
      </c>
      <c r="K98" s="56"/>
      <c r="O98" s="1"/>
      <c r="P98" s="1"/>
      <c r="Q98" s="23" t="s">
        <v>76</v>
      </c>
      <c r="R98" s="1"/>
      <c r="S98" s="1"/>
      <c r="T98" s="1"/>
      <c r="U98" s="1"/>
      <c r="V98" s="1"/>
      <c r="W98" s="1"/>
      <c r="X98" s="1"/>
      <c r="Y98" s="1"/>
      <c r="Z98" s="1"/>
      <c r="AA98" s="1"/>
      <c r="AB98" s="1"/>
      <c r="AC98" s="1"/>
      <c r="AD98" s="1"/>
      <c r="AE98" s="1"/>
      <c r="AF98" s="1"/>
      <c r="AG98" s="1"/>
      <c r="AH98" s="1"/>
      <c r="AI98" s="1"/>
      <c r="AJ98" s="1"/>
    </row>
    <row r="99" spans="1:36" ht="12" customHeight="1">
      <c r="A99" s="7"/>
      <c r="B99" s="59"/>
      <c r="C99" s="60"/>
      <c r="D99" s="61"/>
      <c r="E99" s="61"/>
      <c r="F99" s="62"/>
      <c r="G99" s="60"/>
      <c r="H99" s="61"/>
      <c r="I99" s="60"/>
      <c r="J99" s="59"/>
      <c r="K99" s="60"/>
      <c r="L99" s="1"/>
      <c r="M99" s="1"/>
      <c r="N99" s="1"/>
      <c r="O99" s="1"/>
      <c r="P99" s="1"/>
      <c r="Q99" s="1"/>
      <c r="R99" s="1"/>
      <c r="S99" s="1"/>
      <c r="T99" s="1"/>
      <c r="U99" s="1"/>
      <c r="V99" s="1"/>
      <c r="W99" s="1"/>
      <c r="X99" s="1"/>
      <c r="Y99" s="1"/>
      <c r="Z99" s="1"/>
      <c r="AA99" s="1"/>
      <c r="AB99" s="1"/>
      <c r="AC99" s="1"/>
      <c r="AD99" s="1"/>
      <c r="AE99" s="1"/>
      <c r="AF99" s="1"/>
      <c r="AG99" s="1"/>
      <c r="AH99" s="1"/>
      <c r="AI99" s="1"/>
      <c r="AJ99" s="1"/>
    </row>
    <row r="100" spans="1:36" ht="12" customHeight="1">
      <c r="A100" s="7"/>
      <c r="B100" s="55">
        <f>IF($Q$104="Y"," ",2)</f>
        <v>2</v>
      </c>
      <c r="C100" s="63" t="s">
        <v>77</v>
      </c>
      <c r="D100" s="55">
        <f>IF($Q$104="Y"," ",3)</f>
        <v>3</v>
      </c>
      <c r="E100" s="58"/>
      <c r="F100" s="57" t="str">
        <f>IF($G$104=4," ",IF($Q$104="Y"," ",6))</f>
        <v xml:space="preserve"> </v>
      </c>
      <c r="G100" s="63"/>
      <c r="H100" s="57" t="str">
        <f>IF(OR($G$104=4,$G$104=6)," ",IF($Q$104="Y"," ",7))</f>
        <v xml:space="preserve"> </v>
      </c>
      <c r="I100" s="63"/>
      <c r="J100" s="57" t="str">
        <f>IF(AND(OR($G$104=4,$G$104=6,$G$104=8),$Q$104="N")," ",IF($Q$104="Y"," ",10))</f>
        <v xml:space="preserve"> </v>
      </c>
      <c r="K100" s="56"/>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1:36" ht="12" customHeight="1">
      <c r="A101" s="7"/>
      <c r="B101" s="59"/>
      <c r="C101" s="60"/>
      <c r="D101" s="61"/>
      <c r="E101" s="64"/>
      <c r="F101" s="61"/>
      <c r="G101" s="60"/>
      <c r="H101" s="61"/>
      <c r="I101" s="60"/>
      <c r="J101" s="59"/>
      <c r="K101" s="60"/>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1:36" ht="12" customHeight="1">
      <c r="A102" s="7"/>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ht="12" customHeight="1">
      <c r="A103" s="7"/>
      <c r="B103" s="1"/>
      <c r="C103" s="1"/>
      <c r="D103" s="1"/>
      <c r="E103" s="1"/>
      <c r="F103" s="1"/>
      <c r="G103" s="1"/>
      <c r="H103" s="1"/>
      <c r="I103" s="1"/>
      <c r="J103" s="236" t="str">
        <f>IF($D$14="English","Load positions in one line (e.g. weighing belt)?","Belastungsorte in einer Reihe (z.B. Bandwaage)?")</f>
        <v>Load positions in one line (e.g. weighing belt)?</v>
      </c>
      <c r="K103" s="237"/>
      <c r="L103" s="237"/>
      <c r="M103" s="237"/>
      <c r="N103" s="237"/>
      <c r="O103" s="237"/>
      <c r="P103" s="1"/>
      <c r="Q103" s="1"/>
      <c r="R103" s="1"/>
      <c r="S103" s="1"/>
      <c r="T103" s="1"/>
      <c r="U103" s="1"/>
      <c r="V103" s="1"/>
      <c r="W103" s="1"/>
      <c r="X103" s="1"/>
      <c r="Y103" s="1"/>
      <c r="Z103" s="1"/>
      <c r="AA103" s="1"/>
      <c r="AB103" s="1"/>
      <c r="AC103" s="1"/>
      <c r="AD103" s="1"/>
      <c r="AE103" s="1"/>
      <c r="AF103" s="1"/>
      <c r="AG103" s="1"/>
      <c r="AH103" s="1"/>
      <c r="AI103" s="1"/>
      <c r="AJ103" s="1"/>
    </row>
    <row r="104" spans="1:36" ht="15" customHeight="1">
      <c r="A104" s="7"/>
      <c r="B104" s="1" t="str">
        <f>IF($D$14="English","number of load carrier","Anzahl Auflager")</f>
        <v>number of load carrier</v>
      </c>
      <c r="C104" s="1"/>
      <c r="F104" s="23" t="s">
        <v>76</v>
      </c>
      <c r="G104" s="171">
        <v>4</v>
      </c>
      <c r="H104" s="1"/>
      <c r="I104" s="1"/>
      <c r="J104" s="237"/>
      <c r="K104" s="237"/>
      <c r="L104" s="237"/>
      <c r="M104" s="237"/>
      <c r="N104" s="237"/>
      <c r="O104" s="237"/>
      <c r="Q104" s="172" t="s">
        <v>78</v>
      </c>
      <c r="R104" s="65"/>
      <c r="S104" s="65"/>
      <c r="T104" s="65"/>
      <c r="U104" s="65"/>
      <c r="V104" s="65"/>
      <c r="W104" s="65"/>
      <c r="X104" s="65"/>
      <c r="Y104" s="65"/>
      <c r="Z104" s="65"/>
      <c r="AA104" s="65"/>
      <c r="AB104" s="65"/>
      <c r="AC104" s="65"/>
      <c r="AD104" s="65"/>
      <c r="AE104" s="65"/>
      <c r="AF104" s="65"/>
      <c r="AG104" s="65"/>
      <c r="AH104" s="65"/>
      <c r="AI104" s="65"/>
      <c r="AJ104" s="65"/>
    </row>
    <row r="105" spans="1:36" ht="12" customHeight="1">
      <c r="A105" s="7"/>
      <c r="B105" s="1"/>
      <c r="C105" s="1"/>
      <c r="D105" s="1"/>
      <c r="E105" s="1"/>
      <c r="F105" s="1"/>
      <c r="G105" s="1"/>
      <c r="H105" s="1"/>
      <c r="I105" s="1"/>
      <c r="J105" s="66"/>
      <c r="K105" s="1"/>
      <c r="L105" s="1"/>
      <c r="M105" s="1"/>
      <c r="N105" s="1"/>
      <c r="R105" s="1"/>
      <c r="S105" s="1"/>
      <c r="T105" s="1"/>
      <c r="U105" s="1"/>
      <c r="V105" s="1"/>
      <c r="W105" s="1"/>
      <c r="X105" s="1"/>
      <c r="Y105" s="1"/>
      <c r="Z105" s="1"/>
      <c r="AA105" s="1"/>
      <c r="AB105" s="1"/>
      <c r="AC105" s="1"/>
      <c r="AD105" s="1"/>
      <c r="AE105" s="1"/>
      <c r="AF105" s="1"/>
      <c r="AG105" s="1"/>
      <c r="AH105" s="1"/>
      <c r="AI105" s="1"/>
      <c r="AJ105" s="1"/>
    </row>
    <row r="106" spans="1:36" ht="12" customHeight="1">
      <c r="A106" s="264" t="str">
        <f>IF($D$14="English","load must be about","ungefähre Last")</f>
        <v>load must be about</v>
      </c>
      <c r="B106" s="220"/>
      <c r="C106" s="265" t="s">
        <v>26</v>
      </c>
      <c r="D106" s="223"/>
      <c r="E106" s="220"/>
      <c r="F106" s="67" t="s">
        <v>27</v>
      </c>
      <c r="G106" s="68"/>
      <c r="H106" s="265" t="s">
        <v>28</v>
      </c>
      <c r="I106" s="220"/>
      <c r="J106" s="67" t="s">
        <v>29</v>
      </c>
      <c r="K106" s="68"/>
      <c r="L106" s="69" t="s">
        <v>30</v>
      </c>
      <c r="M106" s="65"/>
      <c r="N106" s="65"/>
      <c r="O106" s="34"/>
      <c r="P106" s="34"/>
      <c r="Q106" s="34"/>
      <c r="R106" s="1"/>
      <c r="S106" s="1"/>
      <c r="T106" s="1"/>
      <c r="U106" s="1"/>
      <c r="V106" s="1"/>
      <c r="W106" s="1"/>
      <c r="X106" s="1"/>
      <c r="Y106" s="1"/>
      <c r="Z106" s="1"/>
      <c r="AA106" s="1"/>
      <c r="AB106" s="1"/>
      <c r="AC106" s="1"/>
      <c r="AD106" s="1"/>
      <c r="AE106" s="1"/>
      <c r="AF106" s="1"/>
      <c r="AG106" s="1"/>
      <c r="AH106" s="1"/>
      <c r="AI106" s="1"/>
      <c r="AJ106" s="1"/>
    </row>
    <row r="107" spans="1:36" ht="12" customHeight="1">
      <c r="A107" s="231" t="s">
        <v>33</v>
      </c>
      <c r="B107" s="220"/>
      <c r="C107" s="18" t="s">
        <v>32</v>
      </c>
      <c r="D107" s="20" t="s">
        <v>79</v>
      </c>
      <c r="E107" s="21" t="s">
        <v>33</v>
      </c>
      <c r="F107" s="18" t="s">
        <v>33</v>
      </c>
      <c r="G107" s="70"/>
      <c r="H107" s="231" t="s">
        <v>33</v>
      </c>
      <c r="I107" s="220"/>
      <c r="J107" s="19" t="s">
        <v>33</v>
      </c>
      <c r="K107" s="21" t="s">
        <v>32</v>
      </c>
      <c r="L107" s="19" t="s">
        <v>34</v>
      </c>
      <c r="M107" s="1"/>
      <c r="N107" s="1"/>
      <c r="R107" s="1"/>
      <c r="S107" s="1"/>
      <c r="T107" s="1"/>
      <c r="U107" s="1"/>
      <c r="V107" s="1"/>
      <c r="W107" s="1"/>
      <c r="X107" s="1"/>
      <c r="Y107" s="1"/>
      <c r="Z107" s="1"/>
      <c r="AA107" s="1"/>
      <c r="AB107" s="1"/>
      <c r="AC107" s="1"/>
      <c r="AD107" s="1"/>
      <c r="AE107" s="1"/>
      <c r="AF107" s="1"/>
      <c r="AG107" s="1"/>
      <c r="AH107" s="1"/>
      <c r="AI107" s="1"/>
      <c r="AJ107" s="1"/>
    </row>
    <row r="108" spans="1:36" ht="12" customHeight="1">
      <c r="A108" s="263">
        <f t="shared" ref="A108:A111" si="38">ROUND($D$10/($G$104-1),-0.01)</f>
        <v>0</v>
      </c>
      <c r="B108" s="220"/>
      <c r="C108" s="11" t="str">
        <f t="shared" ref="C108:C111" si="39">IF($D$9=0," ",IF(E108=" "," ",IF(E108&lt;=$D$9,E108/$D$11,E108/$D$12)))</f>
        <v xml:space="preserve"> </v>
      </c>
      <c r="D108" s="20">
        <v>1</v>
      </c>
      <c r="E108" s="173"/>
      <c r="F108" s="229"/>
      <c r="G108" s="216"/>
      <c r="H108" s="221" t="str">
        <f t="shared" ref="H108:H117" si="40">IF(F108=0," ",ABS(E108-F108))</f>
        <v xml:space="preserve"> </v>
      </c>
      <c r="I108" s="220"/>
      <c r="J108" s="71">
        <f>IF(E108=0,0,IF(E108&lt;=$D$9,PRODUCT($D$11,K108),PRODUCT($D$12,K108)))</f>
        <v>0</v>
      </c>
      <c r="K108" s="26">
        <f>IF(C108=0,0,IF(C108&lt;=500,0.5,(IF(C108&lt;=2000,1,IF(C108&gt;2000,1.5," ")))))</f>
        <v>1.5</v>
      </c>
      <c r="L108" s="27" t="str">
        <f t="shared" ref="L108:L117" si="41">IF(F108=0," ",IF(ABS(H108)&lt;=J108,"Y","N"))</f>
        <v xml:space="preserve"> </v>
      </c>
      <c r="M108" s="1"/>
      <c r="Q108" s="1"/>
      <c r="R108" s="1"/>
      <c r="S108" s="1"/>
      <c r="T108" s="1"/>
      <c r="U108" s="1"/>
      <c r="V108" s="1"/>
      <c r="W108" s="1"/>
      <c r="X108" s="1"/>
      <c r="Y108" s="1"/>
      <c r="Z108" s="1"/>
      <c r="AA108" s="1"/>
      <c r="AB108" s="1"/>
      <c r="AC108" s="1"/>
      <c r="AD108" s="1"/>
      <c r="AE108" s="1"/>
      <c r="AF108" s="1"/>
      <c r="AG108" s="1"/>
      <c r="AH108" s="1"/>
      <c r="AI108" s="1"/>
      <c r="AJ108" s="1"/>
    </row>
    <row r="109" spans="1:36" ht="12" customHeight="1">
      <c r="A109" s="263">
        <f t="shared" si="38"/>
        <v>0</v>
      </c>
      <c r="B109" s="220"/>
      <c r="C109" s="11" t="str">
        <f t="shared" si="39"/>
        <v xml:space="preserve"> </v>
      </c>
      <c r="D109" s="20">
        <v>2</v>
      </c>
      <c r="E109" s="72" t="str">
        <f t="shared" ref="E109:E111" si="42">IF($G$104&gt;1,IF($E$108=0," ",$E$108)," ")</f>
        <v xml:space="preserve"> </v>
      </c>
      <c r="F109" s="229"/>
      <c r="G109" s="216"/>
      <c r="H109" s="221" t="str">
        <f t="shared" si="40"/>
        <v xml:space="preserve"> </v>
      </c>
      <c r="I109" s="220"/>
      <c r="J109" s="71">
        <f t="shared" ref="J109:J117" si="43">IF(E109=" ",0,IF(E109&lt;=$D$9,PRODUCT($D$11,K109),PRODUCT($D$12,K109)))</f>
        <v>0</v>
      </c>
      <c r="K109" s="26">
        <f t="shared" ref="K109:K117" si="44">IF(C109=" ",0,IF(C109&lt;=500,0.5,(IF(C109&lt;=2000,1,IF(C109&gt;2000,1.5," ")))))</f>
        <v>0</v>
      </c>
      <c r="L109" s="27" t="str">
        <f t="shared" si="41"/>
        <v xml:space="preserve"> </v>
      </c>
      <c r="N109" s="73" t="str">
        <f>IF(AND(L108="Y",L109="Y",L110="Y",L111="Y"),"Y","N")</f>
        <v>N</v>
      </c>
      <c r="R109" s="1"/>
      <c r="S109" s="1"/>
      <c r="T109" s="1"/>
      <c r="U109" s="1"/>
      <c r="V109" s="1"/>
      <c r="W109" s="1"/>
      <c r="X109" s="1"/>
      <c r="Y109" s="1"/>
      <c r="Z109" s="1"/>
      <c r="AA109" s="1"/>
      <c r="AB109" s="1"/>
      <c r="AC109" s="1"/>
      <c r="AD109" s="1"/>
      <c r="AE109" s="1"/>
      <c r="AF109" s="1"/>
      <c r="AG109" s="1"/>
      <c r="AH109" s="1"/>
      <c r="AI109" s="1"/>
      <c r="AJ109" s="1"/>
    </row>
    <row r="110" spans="1:36" ht="12" customHeight="1">
      <c r="A110" s="263">
        <f t="shared" si="38"/>
        <v>0</v>
      </c>
      <c r="B110" s="220"/>
      <c r="C110" s="11" t="str">
        <f t="shared" si="39"/>
        <v xml:space="preserve"> </v>
      </c>
      <c r="D110" s="20">
        <v>3</v>
      </c>
      <c r="E110" s="72" t="str">
        <f t="shared" si="42"/>
        <v xml:space="preserve"> </v>
      </c>
      <c r="F110" s="229"/>
      <c r="G110" s="216"/>
      <c r="H110" s="221" t="str">
        <f t="shared" si="40"/>
        <v xml:space="preserve"> </v>
      </c>
      <c r="I110" s="220"/>
      <c r="J110" s="71">
        <f t="shared" si="43"/>
        <v>0</v>
      </c>
      <c r="K110" s="26">
        <f t="shared" si="44"/>
        <v>0</v>
      </c>
      <c r="L110" s="27" t="str">
        <f t="shared" si="41"/>
        <v xml:space="preserve"> </v>
      </c>
      <c r="N110" s="73" t="str">
        <f>IF(AND(L108="Y",L109="Y",L110="Y",L111="Y",L112="Y",L113="Y"),"Y","N")</f>
        <v>N</v>
      </c>
      <c r="R110" s="1"/>
      <c r="S110" s="1"/>
      <c r="T110" s="1"/>
      <c r="U110" s="1"/>
      <c r="V110" s="1"/>
      <c r="W110" s="1"/>
      <c r="X110" s="1"/>
      <c r="Y110" s="1"/>
      <c r="Z110" s="1"/>
      <c r="AA110" s="1"/>
      <c r="AB110" s="1"/>
      <c r="AC110" s="1"/>
      <c r="AD110" s="1"/>
      <c r="AE110" s="1"/>
      <c r="AF110" s="1"/>
      <c r="AG110" s="1"/>
      <c r="AH110" s="1"/>
      <c r="AI110" s="1"/>
      <c r="AJ110" s="1"/>
    </row>
    <row r="111" spans="1:36" ht="12" customHeight="1">
      <c r="A111" s="263">
        <f t="shared" si="38"/>
        <v>0</v>
      </c>
      <c r="B111" s="220"/>
      <c r="C111" s="11" t="str">
        <f t="shared" si="39"/>
        <v xml:space="preserve"> </v>
      </c>
      <c r="D111" s="20">
        <v>4</v>
      </c>
      <c r="E111" s="72" t="str">
        <f t="shared" si="42"/>
        <v xml:space="preserve"> </v>
      </c>
      <c r="F111" s="229"/>
      <c r="G111" s="216"/>
      <c r="H111" s="221" t="str">
        <f t="shared" si="40"/>
        <v xml:space="preserve"> </v>
      </c>
      <c r="I111" s="220"/>
      <c r="J111" s="71">
        <f t="shared" si="43"/>
        <v>0</v>
      </c>
      <c r="K111" s="26">
        <f t="shared" si="44"/>
        <v>0</v>
      </c>
      <c r="L111" s="27" t="str">
        <f t="shared" si="41"/>
        <v xml:space="preserve"> </v>
      </c>
      <c r="N111" s="73" t="str">
        <f>IF(AND(L108="Y",L109="Y",L110="Y",L111="Y",L112="Y",L113="Y",L114="Y",L115="Y"),"Y","N")</f>
        <v>N</v>
      </c>
      <c r="R111" s="1"/>
      <c r="S111" s="1"/>
      <c r="T111" s="1"/>
      <c r="U111" s="1"/>
      <c r="V111" s="1"/>
      <c r="W111" s="1"/>
      <c r="X111" s="1"/>
      <c r="Y111" s="1"/>
      <c r="Z111" s="1"/>
      <c r="AA111" s="1"/>
      <c r="AB111" s="1"/>
      <c r="AC111" s="1"/>
      <c r="AD111" s="1"/>
      <c r="AE111" s="1"/>
      <c r="AF111" s="1"/>
      <c r="AG111" s="1"/>
      <c r="AH111" s="1"/>
      <c r="AI111" s="1"/>
      <c r="AJ111" s="1"/>
    </row>
    <row r="112" spans="1:36" ht="12" customHeight="1">
      <c r="A112" s="263" t="str">
        <f>IF(G104=4," ",ROUND($D$10/($G$104-1),-0.01))</f>
        <v xml:space="preserve"> </v>
      </c>
      <c r="B112" s="220"/>
      <c r="C112" s="11" t="str">
        <f t="shared" ref="C112:C117" si="45">IF(E112=" "," ",IF(E112&lt;=$D$9,E112/$D$11,E112/$D$12))</f>
        <v xml:space="preserve"> </v>
      </c>
      <c r="D112" s="20">
        <v>5</v>
      </c>
      <c r="E112" s="72" t="str">
        <f t="shared" ref="E112:E113" si="46">IF($G$104&gt;4,IF($E$108=0," ",$E$108)," ")</f>
        <v xml:space="preserve"> </v>
      </c>
      <c r="F112" s="229"/>
      <c r="G112" s="216"/>
      <c r="H112" s="221" t="str">
        <f t="shared" si="40"/>
        <v xml:space="preserve"> </v>
      </c>
      <c r="I112" s="220"/>
      <c r="J112" s="71">
        <f t="shared" si="43"/>
        <v>0</v>
      </c>
      <c r="K112" s="26">
        <f t="shared" si="44"/>
        <v>0</v>
      </c>
      <c r="L112" s="27" t="str">
        <f t="shared" si="41"/>
        <v xml:space="preserve"> </v>
      </c>
      <c r="N112" s="73" t="str">
        <f>IF(AND(L108="Y",L109="Y",L110="Y",L111="Y",L112="Y",L113="Y",L114="Y",L115="Y",L116="Y",L117="Y"),"Y","N")</f>
        <v>N</v>
      </c>
      <c r="R112" s="1"/>
      <c r="S112" s="1"/>
      <c r="T112" s="1"/>
      <c r="U112" s="1"/>
      <c r="V112" s="1"/>
      <c r="W112" s="1"/>
      <c r="X112" s="1"/>
      <c r="Y112" s="1"/>
      <c r="Z112" s="1"/>
      <c r="AA112" s="1"/>
      <c r="AB112" s="1"/>
      <c r="AC112" s="1"/>
      <c r="AD112" s="1"/>
      <c r="AE112" s="1"/>
      <c r="AF112" s="1"/>
      <c r="AG112" s="1"/>
      <c r="AH112" s="1"/>
      <c r="AI112" s="1"/>
      <c r="AJ112" s="1"/>
    </row>
    <row r="113" spans="1:36" ht="12" customHeight="1">
      <c r="A113" s="263" t="str">
        <f>IF(G104=4," ",ROUND($D$10/($G$104-1),-0.01))</f>
        <v xml:space="preserve"> </v>
      </c>
      <c r="B113" s="220"/>
      <c r="C113" s="11" t="str">
        <f t="shared" si="45"/>
        <v xml:space="preserve"> </v>
      </c>
      <c r="D113" s="20">
        <v>6</v>
      </c>
      <c r="E113" s="72" t="str">
        <f t="shared" si="46"/>
        <v xml:space="preserve"> </v>
      </c>
      <c r="F113" s="229"/>
      <c r="G113" s="216"/>
      <c r="H113" s="221" t="str">
        <f t="shared" si="40"/>
        <v xml:space="preserve"> </v>
      </c>
      <c r="I113" s="220"/>
      <c r="J113" s="71">
        <f t="shared" si="43"/>
        <v>0</v>
      </c>
      <c r="K113" s="26">
        <f t="shared" si="44"/>
        <v>0</v>
      </c>
      <c r="L113" s="27" t="str">
        <f t="shared" si="41"/>
        <v xml:space="preserve"> </v>
      </c>
      <c r="R113" s="1"/>
      <c r="S113" s="1"/>
      <c r="T113" s="1"/>
      <c r="U113" s="1"/>
      <c r="V113" s="1"/>
      <c r="W113" s="1"/>
      <c r="X113" s="1"/>
      <c r="Y113" s="1"/>
      <c r="Z113" s="1"/>
      <c r="AA113" s="1"/>
      <c r="AB113" s="1"/>
      <c r="AC113" s="1"/>
      <c r="AD113" s="1"/>
      <c r="AE113" s="1"/>
      <c r="AF113" s="1"/>
      <c r="AG113" s="1"/>
      <c r="AH113" s="1"/>
      <c r="AI113" s="1"/>
      <c r="AJ113" s="1"/>
    </row>
    <row r="114" spans="1:36" ht="12" customHeight="1">
      <c r="A114" s="263" t="str">
        <f>IF(G104&lt;8," ",ROUND($D$10/($G$104-1),-0.01))</f>
        <v xml:space="preserve"> </v>
      </c>
      <c r="B114" s="220"/>
      <c r="C114" s="11" t="str">
        <f t="shared" si="45"/>
        <v xml:space="preserve"> </v>
      </c>
      <c r="D114" s="20">
        <v>7</v>
      </c>
      <c r="E114" s="72" t="str">
        <f t="shared" ref="E114:E115" si="47">IF($G$104&gt;6,IF($E$108=0," ",$E$108)," ")</f>
        <v xml:space="preserve"> </v>
      </c>
      <c r="F114" s="229"/>
      <c r="G114" s="216"/>
      <c r="H114" s="221" t="str">
        <f t="shared" si="40"/>
        <v xml:space="preserve"> </v>
      </c>
      <c r="I114" s="220"/>
      <c r="J114" s="71">
        <f t="shared" si="43"/>
        <v>0</v>
      </c>
      <c r="K114" s="26">
        <f t="shared" si="44"/>
        <v>0</v>
      </c>
      <c r="L114" s="27" t="str">
        <f t="shared" si="41"/>
        <v xml:space="preserve"> </v>
      </c>
      <c r="R114" s="1"/>
      <c r="S114" s="1"/>
      <c r="T114" s="1"/>
      <c r="U114" s="1"/>
      <c r="V114" s="1"/>
      <c r="W114" s="1"/>
      <c r="X114" s="1"/>
      <c r="Y114" s="1"/>
      <c r="Z114" s="1"/>
      <c r="AA114" s="1"/>
      <c r="AB114" s="1"/>
      <c r="AC114" s="1"/>
      <c r="AD114" s="1"/>
      <c r="AE114" s="1"/>
      <c r="AF114" s="1"/>
      <c r="AG114" s="1"/>
      <c r="AH114" s="1"/>
      <c r="AI114" s="1"/>
      <c r="AJ114" s="1"/>
    </row>
    <row r="115" spans="1:36" ht="12" customHeight="1">
      <c r="A115" s="263" t="str">
        <f>IF(G104&lt;8," ",ROUND($D$10/($G$104-1),-0.01))</f>
        <v xml:space="preserve"> </v>
      </c>
      <c r="B115" s="220"/>
      <c r="C115" s="11" t="str">
        <f t="shared" si="45"/>
        <v xml:space="preserve"> </v>
      </c>
      <c r="D115" s="20">
        <v>8</v>
      </c>
      <c r="E115" s="72" t="str">
        <f t="shared" si="47"/>
        <v xml:space="preserve"> </v>
      </c>
      <c r="F115" s="229"/>
      <c r="G115" s="216"/>
      <c r="H115" s="221" t="str">
        <f t="shared" si="40"/>
        <v xml:space="preserve"> </v>
      </c>
      <c r="I115" s="220"/>
      <c r="J115" s="71">
        <f t="shared" si="43"/>
        <v>0</v>
      </c>
      <c r="K115" s="26">
        <f t="shared" si="44"/>
        <v>0</v>
      </c>
      <c r="L115" s="27" t="str">
        <f t="shared" si="41"/>
        <v xml:space="preserve"> </v>
      </c>
      <c r="R115" s="1"/>
      <c r="S115" s="1"/>
      <c r="T115" s="1"/>
      <c r="U115" s="1"/>
      <c r="V115" s="1"/>
      <c r="W115" s="1"/>
      <c r="X115" s="1"/>
      <c r="Y115" s="1"/>
      <c r="Z115" s="1"/>
      <c r="AA115" s="1"/>
      <c r="AB115" s="1"/>
      <c r="AC115" s="1"/>
      <c r="AD115" s="1"/>
      <c r="AE115" s="1"/>
      <c r="AF115" s="1"/>
      <c r="AG115" s="1"/>
      <c r="AH115" s="1"/>
      <c r="AI115" s="1"/>
      <c r="AJ115" s="1"/>
    </row>
    <row r="116" spans="1:36" ht="12" customHeight="1">
      <c r="A116" s="263" t="str">
        <f>IF(G104&lt;10," ",ROUND($D$10/($G$104-1),-0.01))</f>
        <v xml:space="preserve"> </v>
      </c>
      <c r="B116" s="220"/>
      <c r="C116" s="11" t="str">
        <f t="shared" si="45"/>
        <v xml:space="preserve"> </v>
      </c>
      <c r="D116" s="20">
        <v>9</v>
      </c>
      <c r="E116" s="72" t="str">
        <f t="shared" ref="E116:E117" si="48">IF($G$104&gt;8,IF($E$108=0," ",$E$108)," ")</f>
        <v xml:space="preserve"> </v>
      </c>
      <c r="F116" s="229"/>
      <c r="G116" s="216"/>
      <c r="H116" s="221" t="str">
        <f t="shared" si="40"/>
        <v xml:space="preserve"> </v>
      </c>
      <c r="I116" s="220"/>
      <c r="J116" s="71">
        <f t="shared" si="43"/>
        <v>0</v>
      </c>
      <c r="K116" s="26">
        <f t="shared" si="44"/>
        <v>0</v>
      </c>
      <c r="L116" s="27" t="str">
        <f t="shared" si="41"/>
        <v xml:space="preserve"> </v>
      </c>
      <c r="R116" s="1"/>
      <c r="S116" s="1"/>
      <c r="T116" s="1"/>
      <c r="U116" s="1"/>
      <c r="V116" s="1"/>
      <c r="W116" s="1"/>
      <c r="X116" s="1"/>
      <c r="Y116" s="1"/>
      <c r="Z116" s="1"/>
      <c r="AA116" s="1"/>
      <c r="AB116" s="1"/>
      <c r="AC116" s="1"/>
      <c r="AD116" s="1"/>
      <c r="AE116" s="1"/>
      <c r="AF116" s="1"/>
      <c r="AG116" s="1"/>
      <c r="AH116" s="1"/>
      <c r="AI116" s="1"/>
      <c r="AJ116" s="1"/>
    </row>
    <row r="117" spans="1:36" ht="12" customHeight="1">
      <c r="A117" s="263" t="str">
        <f>IF(G104&lt;10," ",ROUND($D$10/($G$104-1),-0.01))</f>
        <v xml:space="preserve"> </v>
      </c>
      <c r="B117" s="220"/>
      <c r="C117" s="11" t="str">
        <f t="shared" si="45"/>
        <v xml:space="preserve"> </v>
      </c>
      <c r="D117" s="20">
        <v>10</v>
      </c>
      <c r="E117" s="72" t="str">
        <f t="shared" si="48"/>
        <v xml:space="preserve"> </v>
      </c>
      <c r="F117" s="229"/>
      <c r="G117" s="216"/>
      <c r="H117" s="221" t="str">
        <f t="shared" si="40"/>
        <v xml:space="preserve"> </v>
      </c>
      <c r="I117" s="220"/>
      <c r="J117" s="71">
        <f t="shared" si="43"/>
        <v>0</v>
      </c>
      <c r="K117" s="26">
        <f t="shared" si="44"/>
        <v>0</v>
      </c>
      <c r="L117" s="27" t="str">
        <f t="shared" si="41"/>
        <v xml:space="preserve"> </v>
      </c>
      <c r="R117" s="1"/>
      <c r="S117" s="1"/>
      <c r="T117" s="1"/>
      <c r="U117" s="1"/>
      <c r="V117" s="1"/>
      <c r="W117" s="1"/>
      <c r="X117" s="1"/>
      <c r="Y117" s="1"/>
      <c r="Z117" s="1"/>
      <c r="AA117" s="1"/>
      <c r="AB117" s="1"/>
      <c r="AC117" s="1"/>
      <c r="AD117" s="1"/>
      <c r="AE117" s="1"/>
      <c r="AF117" s="1"/>
      <c r="AG117" s="1"/>
      <c r="AH117" s="1"/>
      <c r="AI117" s="1"/>
      <c r="AJ117" s="1"/>
    </row>
    <row r="118" spans="1:36" ht="15.75" customHeight="1">
      <c r="A118" s="1"/>
      <c r="B118" s="1"/>
      <c r="C118" s="1"/>
      <c r="D118" s="1"/>
      <c r="E118" s="1"/>
      <c r="F118" s="262"/>
      <c r="G118" s="237"/>
      <c r="H118" s="31"/>
      <c r="I118" s="1"/>
      <c r="J118" s="17"/>
      <c r="K118" s="6" t="str">
        <f>IF($D$14="English","Test passed?","Test bestanden?")</f>
        <v>Test passed?</v>
      </c>
      <c r="L118" s="27" t="str">
        <f>IF($G$104=4,$N$109,IF($G$104=6,$N$110,IF($G$104=8,$N$111,IF($G$104=10,$N$112,"N"))))</f>
        <v>N</v>
      </c>
      <c r="R118" s="1"/>
      <c r="S118" s="1"/>
      <c r="T118" s="1"/>
      <c r="U118" s="1"/>
      <c r="V118" s="1"/>
      <c r="W118" s="1"/>
      <c r="X118" s="1"/>
      <c r="Y118" s="1"/>
      <c r="Z118" s="1"/>
      <c r="AA118" s="1"/>
      <c r="AB118" s="1"/>
      <c r="AC118" s="1"/>
      <c r="AD118" s="1"/>
      <c r="AE118" s="1"/>
      <c r="AF118" s="1"/>
      <c r="AG118" s="1"/>
      <c r="AH118" s="1"/>
      <c r="AI118" s="1"/>
      <c r="AJ118" s="1"/>
    </row>
    <row r="119" spans="1:36" ht="12" customHeight="1">
      <c r="A119" s="1"/>
      <c r="B119" s="1"/>
      <c r="C119" s="1"/>
      <c r="D119" s="1"/>
      <c r="E119" s="1"/>
      <c r="F119" s="43"/>
      <c r="G119" s="43"/>
      <c r="H119" s="31"/>
      <c r="I119" s="1"/>
      <c r="J119" s="17"/>
      <c r="K119" s="6"/>
      <c r="L119" s="17"/>
      <c r="R119" s="1"/>
      <c r="S119" s="1"/>
      <c r="T119" s="1"/>
      <c r="U119" s="1"/>
      <c r="V119" s="1"/>
      <c r="W119" s="1"/>
      <c r="X119" s="1"/>
      <c r="Y119" s="1"/>
      <c r="Z119" s="1"/>
      <c r="AA119" s="1"/>
      <c r="AB119" s="1"/>
      <c r="AC119" s="1"/>
      <c r="AD119" s="1"/>
      <c r="AE119" s="1"/>
      <c r="AF119" s="1"/>
      <c r="AG119" s="1"/>
      <c r="AH119" s="1"/>
      <c r="AI119" s="1"/>
      <c r="AJ119" s="1"/>
    </row>
    <row r="120" spans="1:36" ht="12.75" customHeight="1">
      <c r="A120" s="1"/>
      <c r="B120" s="53"/>
      <c r="C120" s="40"/>
      <c r="D120" s="1"/>
      <c r="E120" s="1"/>
      <c r="F120" s="1"/>
      <c r="G120" s="31"/>
      <c r="H120" s="31"/>
      <c r="I120" s="31"/>
      <c r="J120" s="31"/>
      <c r="K120" s="1"/>
      <c r="L120" s="6"/>
      <c r="M120" s="54"/>
      <c r="N120" s="1"/>
      <c r="O120" s="54"/>
      <c r="P120" s="17"/>
      <c r="Q120" s="17"/>
      <c r="R120" s="1"/>
      <c r="S120" s="1"/>
      <c r="T120" s="1"/>
      <c r="U120" s="1"/>
      <c r="V120" s="1"/>
      <c r="W120" s="1"/>
      <c r="X120" s="1"/>
      <c r="Y120" s="1"/>
      <c r="Z120" s="1"/>
      <c r="AA120" s="1"/>
      <c r="AB120" s="1"/>
      <c r="AC120" s="1"/>
      <c r="AD120" s="1"/>
      <c r="AE120" s="1"/>
      <c r="AF120" s="1"/>
      <c r="AG120" s="1"/>
      <c r="AH120" s="1"/>
      <c r="AI120" s="1"/>
      <c r="AJ120" s="1"/>
    </row>
    <row r="121" spans="1:36" ht="12.75" customHeight="1">
      <c r="A121" s="7" t="str">
        <f>IF($D$14="English","7.  Earth Gravity","7. Fallbeschleunigung")</f>
        <v>7.  Earth Gravity</v>
      </c>
      <c r="B121" s="46"/>
      <c r="C121" s="74"/>
      <c r="D121" s="74"/>
      <c r="E121" s="41"/>
      <c r="F121" s="41"/>
      <c r="G121" s="41"/>
      <c r="H121" s="75"/>
      <c r="I121" s="75"/>
      <c r="J121" s="41"/>
      <c r="K121" s="41"/>
      <c r="L121" s="73"/>
      <c r="M121" s="73"/>
      <c r="N121" s="42"/>
      <c r="O121" s="42"/>
      <c r="P121" s="28"/>
      <c r="Q121" s="1"/>
      <c r="R121" s="1"/>
      <c r="S121" s="1"/>
      <c r="T121" s="1"/>
      <c r="U121" s="1"/>
      <c r="V121" s="1"/>
      <c r="W121" s="1"/>
      <c r="X121" s="1"/>
      <c r="Y121" s="1"/>
      <c r="Z121" s="1"/>
      <c r="AA121" s="1"/>
      <c r="AB121" s="1"/>
      <c r="AC121" s="1"/>
      <c r="AD121" s="1"/>
      <c r="AE121" s="1"/>
      <c r="AF121" s="1"/>
      <c r="AG121" s="1"/>
      <c r="AH121" s="1"/>
      <c r="AI121" s="1"/>
      <c r="AJ121" s="1"/>
    </row>
    <row r="122" spans="1:36" ht="12.75" customHeight="1">
      <c r="A122" s="7" t="str">
        <f>IF($D$14="English","Verification for: g=","Prüfung für: g=")</f>
        <v>Verification for: g=</v>
      </c>
      <c r="B122" s="46"/>
      <c r="C122" s="74"/>
      <c r="D122" s="260"/>
      <c r="E122" s="216"/>
      <c r="F122" s="41"/>
      <c r="G122" s="41"/>
      <c r="H122" s="169" t="s">
        <v>80</v>
      </c>
      <c r="I122" s="7" t="str">
        <f>IF($D$14="English","Not required","vernachlässigbar")</f>
        <v>Not required</v>
      </c>
      <c r="J122" s="41"/>
      <c r="K122" s="41"/>
      <c r="L122" s="73"/>
      <c r="M122" s="73"/>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ht="12" customHeight="1">
      <c r="A123" s="45"/>
      <c r="B123" s="46"/>
      <c r="C123" s="74"/>
      <c r="D123" s="260"/>
      <c r="E123" s="216"/>
      <c r="F123" s="41"/>
      <c r="G123" s="41"/>
      <c r="H123" s="75"/>
      <c r="I123" s="75"/>
      <c r="J123" s="41"/>
      <c r="K123" s="41"/>
      <c r="L123" s="73"/>
      <c r="M123" s="73"/>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ht="12" customHeight="1">
      <c r="A124" s="45"/>
      <c r="B124" s="46"/>
      <c r="C124" s="74"/>
      <c r="D124" s="74"/>
      <c r="E124" s="74"/>
      <c r="F124" s="41"/>
      <c r="G124" s="41"/>
      <c r="H124" s="75"/>
      <c r="I124" s="75"/>
      <c r="J124" s="41"/>
      <c r="K124" s="41"/>
      <c r="L124" s="73"/>
      <c r="M124" s="73"/>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ht="12.75" customHeight="1">
      <c r="A125" s="76" t="str">
        <f>IF($D$14="English","place of installation:","Ort der Inbetriebnahme:")</f>
        <v>place of installation:</v>
      </c>
      <c r="B125" s="1"/>
      <c r="C125" s="1"/>
      <c r="D125" s="1"/>
      <c r="E125" s="253"/>
      <c r="F125" s="215"/>
      <c r="G125" s="215"/>
      <c r="H125" s="215"/>
      <c r="I125" s="215"/>
      <c r="J125" s="215"/>
      <c r="K125" s="215"/>
      <c r="L125" s="215"/>
      <c r="M125" s="215"/>
      <c r="N125" s="215"/>
      <c r="O125" s="215"/>
      <c r="P125" s="215"/>
      <c r="Q125" s="261"/>
      <c r="R125" s="1"/>
      <c r="S125" s="1"/>
      <c r="T125" s="1"/>
      <c r="U125" s="1"/>
      <c r="V125" s="1"/>
      <c r="W125" s="1"/>
      <c r="X125" s="1"/>
      <c r="Y125" s="1"/>
      <c r="Z125" s="1"/>
      <c r="AA125" s="1"/>
      <c r="AB125" s="1"/>
      <c r="AC125" s="1"/>
      <c r="AD125" s="1"/>
      <c r="AE125" s="1"/>
      <c r="AF125" s="1"/>
      <c r="AG125" s="1"/>
      <c r="AH125" s="1"/>
      <c r="AI125" s="1"/>
      <c r="AJ125" s="1"/>
    </row>
    <row r="126" spans="1:36" ht="12.75" customHeight="1">
      <c r="A126" s="77"/>
      <c r="B126" s="1"/>
      <c r="C126" s="1"/>
      <c r="D126" s="1"/>
      <c r="E126" s="253"/>
      <c r="F126" s="215"/>
      <c r="G126" s="215"/>
      <c r="H126" s="215"/>
      <c r="I126" s="215"/>
      <c r="J126" s="215"/>
      <c r="K126" s="215"/>
      <c r="L126" s="215"/>
      <c r="M126" s="215"/>
      <c r="N126" s="215"/>
      <c r="O126" s="215"/>
      <c r="P126" s="215"/>
      <c r="Q126" s="261"/>
      <c r="R126" s="1"/>
      <c r="S126" s="1"/>
      <c r="T126" s="1"/>
      <c r="U126" s="1"/>
      <c r="V126" s="1"/>
      <c r="W126" s="1"/>
      <c r="X126" s="1"/>
      <c r="Y126" s="1"/>
      <c r="Z126" s="1"/>
      <c r="AA126" s="1"/>
      <c r="AB126" s="1"/>
      <c r="AC126" s="1"/>
      <c r="AD126" s="1"/>
      <c r="AE126" s="1"/>
      <c r="AF126" s="1"/>
      <c r="AG126" s="1"/>
      <c r="AH126" s="1"/>
      <c r="AI126" s="1"/>
      <c r="AJ126" s="1"/>
    </row>
    <row r="127" spans="1:36" ht="12"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ht="12" customHeight="1">
      <c r="A128" s="76" t="str">
        <f>IF($D$14="English","Calibration Counter C:","Kalibrierzähler C:")</f>
        <v>Calibration Counter C:</v>
      </c>
      <c r="B128" s="1"/>
      <c r="C128" s="1"/>
      <c r="D128" s="1"/>
      <c r="E128" s="255"/>
      <c r="F128" s="216"/>
      <c r="G128" s="17"/>
      <c r="H128" s="41"/>
      <c r="I128" s="41"/>
      <c r="J128" s="41"/>
      <c r="K128" s="41"/>
      <c r="L128" s="73"/>
      <c r="M128" s="73"/>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ht="12.75" customHeight="1">
      <c r="A129" s="1"/>
      <c r="B129" s="1"/>
      <c r="C129" s="1"/>
      <c r="D129" s="1"/>
      <c r="E129" s="1"/>
      <c r="F129" s="1"/>
      <c r="G129" s="17"/>
      <c r="H129" s="41"/>
      <c r="I129" s="41"/>
      <c r="J129" s="41"/>
      <c r="K129" s="41"/>
      <c r="L129" s="73"/>
      <c r="M129" s="73"/>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ht="13.5" customHeight="1">
      <c r="A130" s="78"/>
      <c r="B130" s="78" t="str">
        <f>IF($D$14="English","Note:  If the scale  fails any test, it should not be used!","Anmerkung: Falls ein Test nicht bestanden ist, ist die Waage nicht eichfähig!")</f>
        <v>Note:  If the scale  fails any test, it should not be used!</v>
      </c>
      <c r="C130" s="74"/>
      <c r="D130" s="41"/>
      <c r="E130" s="41"/>
      <c r="F130" s="4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ht="12.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ht="12.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ht="17.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ht="12.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ht="12.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ht="15" customHeight="1">
      <c r="A136" s="1"/>
      <c r="B136" s="79"/>
      <c r="C136" s="80"/>
      <c r="D136" s="80"/>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ht="12.75" customHeight="1">
      <c r="A137" s="1"/>
      <c r="B137" s="23"/>
      <c r="C137" s="23"/>
      <c r="D137" s="23"/>
      <c r="E137" s="1"/>
      <c r="F137" s="8"/>
      <c r="G137" s="1"/>
      <c r="H137" s="81"/>
      <c r="I137" s="13"/>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ht="12.75" customHeight="1">
      <c r="A138" s="1"/>
      <c r="B138" s="23"/>
      <c r="C138" s="23"/>
      <c r="D138" s="23"/>
      <c r="E138" s="1"/>
      <c r="F138" s="8"/>
      <c r="G138" s="1"/>
      <c r="H138" s="81"/>
      <c r="I138" s="13"/>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ht="13.5" customHeight="1">
      <c r="A139" s="1"/>
      <c r="B139" s="23"/>
      <c r="C139" s="23"/>
      <c r="D139" s="23"/>
      <c r="E139" s="1"/>
      <c r="F139" s="8"/>
      <c r="G139" s="1"/>
      <c r="H139" s="81"/>
      <c r="I139" s="13"/>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ht="12.75" customHeight="1">
      <c r="A140" s="1"/>
      <c r="B140" s="23"/>
      <c r="C140" s="23"/>
      <c r="D140" s="23"/>
      <c r="E140" s="1"/>
      <c r="F140" s="8"/>
      <c r="G140" s="1"/>
      <c r="H140" s="81"/>
      <c r="I140" s="13"/>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ht="12.75" customHeight="1">
      <c r="A141" s="1"/>
      <c r="B141" s="23"/>
      <c r="C141" s="23"/>
      <c r="D141" s="23"/>
      <c r="E141" s="1"/>
      <c r="F141" s="8"/>
      <c r="G141" s="1"/>
      <c r="H141" s="81"/>
      <c r="I141" s="13"/>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ht="12" customHeight="1">
      <c r="A142" s="1"/>
      <c r="B142" s="23"/>
      <c r="C142" s="23"/>
      <c r="D142" s="23"/>
      <c r="E142" s="1"/>
      <c r="F142" s="8"/>
      <c r="G142" s="1"/>
      <c r="H142" s="81"/>
      <c r="I142" s="13"/>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ht="12" customHeight="1">
      <c r="A143" s="1"/>
      <c r="B143" s="23"/>
      <c r="C143" s="23"/>
      <c r="D143" s="23"/>
      <c r="E143" s="1"/>
      <c r="F143" s="8"/>
      <c r="G143" s="1"/>
      <c r="H143" s="81"/>
      <c r="I143" s="13"/>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ht="12" customHeight="1">
      <c r="A144" s="1"/>
      <c r="B144" s="23"/>
      <c r="C144" s="23"/>
      <c r="D144" s="23"/>
      <c r="E144" s="1"/>
      <c r="F144" s="8"/>
      <c r="G144" s="1"/>
      <c r="H144" s="81"/>
      <c r="I144" s="13"/>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ht="12" customHeight="1">
      <c r="A145" s="1"/>
      <c r="B145" s="23"/>
      <c r="C145" s="23"/>
      <c r="D145" s="23"/>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ht="12" customHeight="1">
      <c r="A146" s="1"/>
      <c r="B146" s="23"/>
      <c r="C146" s="23"/>
      <c r="D146" s="23"/>
      <c r="E146" s="1"/>
      <c r="F146" s="8"/>
      <c r="G146" s="1"/>
      <c r="H146" s="81"/>
      <c r="I146" s="13"/>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ht="12" customHeight="1">
      <c r="A147" s="1"/>
      <c r="B147" s="23"/>
      <c r="C147" s="23"/>
      <c r="D147" s="23"/>
      <c r="E147" s="1"/>
      <c r="F147" s="8"/>
      <c r="G147" s="1"/>
      <c r="H147" s="81"/>
      <c r="I147" s="13"/>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ht="12" customHeight="1">
      <c r="A148" s="1"/>
      <c r="B148" s="23"/>
      <c r="C148" s="23"/>
      <c r="D148" s="23"/>
      <c r="E148" s="1"/>
      <c r="F148" s="8"/>
      <c r="G148" s="1"/>
      <c r="H148" s="81"/>
      <c r="I148" s="13"/>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ht="12" customHeight="1">
      <c r="A149" s="1"/>
      <c r="B149" s="23"/>
      <c r="C149" s="23"/>
      <c r="D149" s="23"/>
      <c r="E149" s="1"/>
      <c r="F149" s="8"/>
      <c r="G149" s="1"/>
      <c r="H149" s="81"/>
      <c r="I149" s="13"/>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ht="12" customHeight="1">
      <c r="A150" s="1"/>
      <c r="B150" s="23"/>
      <c r="C150" s="23"/>
      <c r="D150" s="23"/>
      <c r="E150" s="1"/>
      <c r="F150" s="8"/>
      <c r="G150" s="1"/>
      <c r="H150" s="81"/>
      <c r="I150" s="13"/>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ht="12" customHeight="1">
      <c r="A151" s="1"/>
      <c r="B151" s="23"/>
      <c r="C151" s="23"/>
      <c r="D151" s="23"/>
      <c r="E151" s="1"/>
      <c r="F151" s="8"/>
      <c r="G151" s="1"/>
      <c r="H151" s="81"/>
      <c r="I151" s="13"/>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ht="12" customHeight="1">
      <c r="A152" s="1"/>
      <c r="B152" s="23"/>
      <c r="C152" s="23"/>
      <c r="D152" s="23"/>
      <c r="E152" s="1"/>
      <c r="F152" s="8"/>
      <c r="G152" s="1"/>
      <c r="H152" s="81"/>
      <c r="I152" s="13"/>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ht="12" customHeight="1">
      <c r="A153" s="1"/>
      <c r="B153" s="23"/>
      <c r="C153" s="23"/>
      <c r="D153" s="23"/>
      <c r="E153" s="1"/>
      <c r="F153" s="8"/>
      <c r="G153" s="1"/>
      <c r="H153" s="81"/>
      <c r="I153" s="13"/>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ht="12" customHeight="1">
      <c r="A154" s="1"/>
      <c r="B154" s="23"/>
      <c r="C154" s="23"/>
      <c r="D154" s="23"/>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ht="12" customHeight="1">
      <c r="A155" s="1"/>
      <c r="B155" s="23"/>
      <c r="C155" s="23"/>
      <c r="D155" s="23"/>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ht="12" customHeight="1">
      <c r="A156" s="1"/>
      <c r="B156" s="23"/>
      <c r="C156" s="23"/>
      <c r="D156" s="23"/>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ht="12" customHeight="1">
      <c r="A157" s="1"/>
      <c r="B157" s="23"/>
      <c r="C157" s="23"/>
      <c r="D157" s="23"/>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ht="12" customHeight="1">
      <c r="A158" s="1"/>
      <c r="B158" s="23"/>
      <c r="C158" s="23"/>
      <c r="D158" s="23"/>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ht="12" customHeight="1">
      <c r="A159" s="1"/>
      <c r="B159" s="23"/>
      <c r="C159" s="23"/>
      <c r="D159" s="23"/>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ht="12" customHeight="1">
      <c r="A160" s="1"/>
      <c r="B160" s="23"/>
      <c r="C160" s="23"/>
      <c r="D160" s="23"/>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ht="12" customHeight="1">
      <c r="A161" s="1"/>
      <c r="B161" s="23"/>
      <c r="C161" s="23"/>
      <c r="D161" s="23"/>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ht="12" customHeight="1">
      <c r="A162" s="1"/>
      <c r="B162" s="23"/>
      <c r="C162" s="23"/>
      <c r="D162" s="23"/>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ht="12" customHeight="1">
      <c r="A163" s="1"/>
      <c r="B163" s="23"/>
      <c r="C163" s="23"/>
      <c r="D163" s="23"/>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ht="12" customHeight="1">
      <c r="A164" s="1"/>
      <c r="B164" s="23"/>
      <c r="C164" s="23"/>
      <c r="D164" s="23"/>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ht="12" customHeight="1">
      <c r="A165" s="1"/>
      <c r="B165" s="23"/>
      <c r="C165" s="23"/>
      <c r="D165" s="23"/>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ht="12" customHeight="1">
      <c r="A166" s="1"/>
      <c r="B166" s="23"/>
      <c r="C166" s="23"/>
      <c r="D166" s="23"/>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ht="12" customHeight="1">
      <c r="A167" s="1"/>
      <c r="B167" s="23"/>
      <c r="C167" s="23"/>
      <c r="D167" s="23"/>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ht="12" customHeight="1">
      <c r="A168" s="1"/>
      <c r="B168" s="23"/>
      <c r="C168" s="23"/>
      <c r="D168" s="23"/>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ht="12" customHeight="1">
      <c r="A169" s="1"/>
      <c r="B169" s="23"/>
      <c r="C169" s="23"/>
      <c r="D169" s="23"/>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ht="12" customHeight="1">
      <c r="A170" s="1"/>
      <c r="B170" s="23"/>
      <c r="C170" s="23"/>
      <c r="D170" s="23"/>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ht="12" customHeight="1">
      <c r="A171" s="1"/>
      <c r="B171" s="23"/>
      <c r="C171" s="23"/>
      <c r="D171" s="23"/>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ht="12" customHeight="1">
      <c r="A172" s="1"/>
      <c r="B172" s="23"/>
      <c r="C172" s="23"/>
      <c r="D172" s="23"/>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ht="12" customHeight="1">
      <c r="A173" s="1"/>
      <c r="B173" s="23"/>
      <c r="C173" s="23"/>
      <c r="D173" s="23"/>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ht="12" customHeight="1">
      <c r="A174" s="1"/>
      <c r="B174" s="23"/>
      <c r="C174" s="23"/>
      <c r="D174" s="23"/>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ht="12" customHeight="1">
      <c r="A175" s="1"/>
      <c r="B175" s="23"/>
      <c r="C175" s="23"/>
      <c r="D175" s="23"/>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ht="12" customHeight="1">
      <c r="A176" s="1"/>
      <c r="B176" s="23"/>
      <c r="C176" s="23"/>
      <c r="D176" s="23"/>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ht="12" customHeight="1">
      <c r="A177" s="1"/>
      <c r="B177" s="23"/>
      <c r="C177" s="23"/>
      <c r="D177" s="23"/>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ht="12" customHeight="1">
      <c r="A178" s="1"/>
      <c r="B178" s="23"/>
      <c r="C178" s="23"/>
      <c r="D178" s="23"/>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ht="12" customHeight="1">
      <c r="A179" s="1"/>
      <c r="B179" s="23"/>
      <c r="C179" s="23"/>
      <c r="D179" s="23"/>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ht="12" customHeight="1">
      <c r="A180" s="1"/>
      <c r="B180" s="23"/>
      <c r="C180" s="23"/>
      <c r="D180" s="23"/>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ht="12" customHeight="1">
      <c r="A181" s="1"/>
      <c r="B181" s="23"/>
      <c r="C181" s="23"/>
      <c r="D181" s="23"/>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ht="12" customHeight="1">
      <c r="A182" s="1"/>
      <c r="B182" s="23"/>
      <c r="C182" s="23"/>
      <c r="D182" s="23"/>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ht="12" customHeight="1">
      <c r="A183" s="1"/>
      <c r="B183" s="23"/>
      <c r="C183" s="23"/>
      <c r="D183" s="23"/>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ht="12" customHeight="1">
      <c r="A184" s="1"/>
      <c r="B184" s="23"/>
      <c r="C184" s="23"/>
      <c r="D184" s="23"/>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ht="12" customHeight="1">
      <c r="A185" s="1"/>
      <c r="B185" s="23"/>
      <c r="C185" s="23"/>
      <c r="D185" s="23"/>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ht="12" customHeight="1">
      <c r="A186" s="1"/>
      <c r="B186" s="23"/>
      <c r="C186" s="23"/>
      <c r="D186" s="23"/>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ht="12" customHeight="1">
      <c r="A187" s="1"/>
      <c r="B187" s="23"/>
      <c r="C187" s="23"/>
      <c r="D187" s="23"/>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ht="12" customHeight="1">
      <c r="A188" s="1"/>
      <c r="B188" s="23"/>
      <c r="C188" s="23"/>
      <c r="D188" s="23"/>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ht="12" customHeight="1">
      <c r="A189" s="1"/>
      <c r="B189" s="23"/>
      <c r="C189" s="23"/>
      <c r="D189" s="23"/>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ht="12" customHeight="1">
      <c r="A190" s="1"/>
      <c r="B190" s="23"/>
      <c r="C190" s="23"/>
      <c r="D190" s="23"/>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ht="12" customHeight="1">
      <c r="A191" s="1"/>
      <c r="B191" s="23"/>
      <c r="C191" s="23"/>
      <c r="D191" s="23"/>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ht="12" customHeight="1">
      <c r="A192" s="1"/>
      <c r="B192" s="23"/>
      <c r="C192" s="23"/>
      <c r="D192" s="23"/>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ht="12" customHeight="1">
      <c r="A193" s="1"/>
      <c r="B193" s="23"/>
      <c r="C193" s="23"/>
      <c r="D193" s="23"/>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ht="12" customHeight="1">
      <c r="A194" s="1"/>
      <c r="B194" s="23"/>
      <c r="C194" s="23"/>
      <c r="D194" s="23"/>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ht="12" customHeight="1">
      <c r="A195" s="1"/>
      <c r="B195" s="23"/>
      <c r="C195" s="23"/>
      <c r="D195" s="23"/>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ht="12" customHeight="1">
      <c r="A196" s="1"/>
      <c r="B196" s="23"/>
      <c r="C196" s="23"/>
      <c r="D196" s="23"/>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ht="12" customHeight="1">
      <c r="A197" s="1"/>
      <c r="B197" s="23"/>
      <c r="C197" s="23"/>
      <c r="D197" s="23"/>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ht="12" customHeight="1">
      <c r="A198" s="1"/>
      <c r="B198" s="23"/>
      <c r="C198" s="23"/>
      <c r="D198" s="23"/>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ht="12" customHeight="1">
      <c r="A199" s="1"/>
      <c r="B199" s="23"/>
      <c r="C199" s="23"/>
      <c r="D199" s="23"/>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ht="12" customHeight="1">
      <c r="A200" s="1"/>
      <c r="B200" s="23"/>
      <c r="C200" s="23"/>
      <c r="D200" s="23"/>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ht="12" customHeight="1">
      <c r="A201" s="1"/>
      <c r="B201" s="23"/>
      <c r="C201" s="23"/>
      <c r="D201" s="23"/>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ht="12" customHeight="1">
      <c r="A202" s="1"/>
      <c r="B202" s="23"/>
      <c r="C202" s="23"/>
      <c r="D202" s="23"/>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ht="12" customHeight="1">
      <c r="A203" s="1"/>
      <c r="B203" s="23"/>
      <c r="C203" s="23"/>
      <c r="D203" s="23"/>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ht="12" customHeight="1">
      <c r="A204" s="1"/>
      <c r="B204" s="23"/>
      <c r="C204" s="23"/>
      <c r="D204" s="23"/>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ht="12" customHeight="1">
      <c r="A205" s="1"/>
      <c r="B205" s="23"/>
      <c r="C205" s="23"/>
      <c r="D205" s="23"/>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ht="12" customHeight="1">
      <c r="A206" s="1"/>
      <c r="B206" s="23"/>
      <c r="C206" s="23"/>
      <c r="D206" s="23"/>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ht="12" customHeight="1">
      <c r="A207" s="1"/>
      <c r="B207" s="23"/>
      <c r="C207" s="23"/>
      <c r="D207" s="23"/>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ht="12" customHeight="1">
      <c r="A208" s="1"/>
      <c r="B208" s="23"/>
      <c r="C208" s="23"/>
      <c r="D208" s="23"/>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ht="12" customHeight="1">
      <c r="A209" s="1"/>
      <c r="B209" s="23"/>
      <c r="C209" s="23"/>
      <c r="D209" s="23"/>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ht="12" customHeight="1">
      <c r="A210" s="1"/>
      <c r="B210" s="23"/>
      <c r="C210" s="23"/>
      <c r="D210" s="23"/>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ht="12" customHeight="1">
      <c r="A211" s="1"/>
      <c r="B211" s="23"/>
      <c r="C211" s="23"/>
      <c r="D211" s="23"/>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ht="12" customHeight="1">
      <c r="A212" s="1"/>
      <c r="B212" s="23"/>
      <c r="C212" s="23"/>
      <c r="D212" s="23"/>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ht="12" customHeight="1">
      <c r="A213" s="1"/>
      <c r="B213" s="23"/>
      <c r="C213" s="23"/>
      <c r="D213" s="23"/>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ht="12" customHeight="1">
      <c r="A214" s="1"/>
      <c r="B214" s="23"/>
      <c r="C214" s="23"/>
      <c r="D214" s="23"/>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ht="12" customHeight="1">
      <c r="A215" s="1"/>
      <c r="B215" s="23"/>
      <c r="C215" s="23"/>
      <c r="D215" s="23"/>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ht="12" customHeight="1">
      <c r="A216" s="1"/>
      <c r="B216" s="23"/>
      <c r="C216" s="23"/>
      <c r="D216" s="23"/>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ht="12" customHeight="1">
      <c r="A217" s="1"/>
      <c r="B217" s="23"/>
      <c r="C217" s="23"/>
      <c r="D217" s="23"/>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ht="12" customHeight="1">
      <c r="A218" s="1"/>
      <c r="B218" s="23"/>
      <c r="C218" s="23"/>
      <c r="D218" s="23"/>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ht="12" customHeight="1">
      <c r="A219" s="1"/>
      <c r="B219" s="23"/>
      <c r="C219" s="23"/>
      <c r="D219" s="23"/>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ht="12" customHeight="1">
      <c r="A220" s="1"/>
      <c r="B220" s="23"/>
      <c r="C220" s="23"/>
      <c r="D220" s="23"/>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ht="12" customHeight="1">
      <c r="A221" s="1"/>
      <c r="B221" s="23"/>
      <c r="C221" s="23"/>
      <c r="D221" s="23"/>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ht="12" customHeight="1">
      <c r="A222" s="1"/>
      <c r="B222" s="23"/>
      <c r="C222" s="23"/>
      <c r="D222" s="23"/>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ht="12" customHeight="1">
      <c r="A223" s="1"/>
      <c r="B223" s="23"/>
      <c r="C223" s="23"/>
      <c r="D223" s="23"/>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ht="12" customHeight="1">
      <c r="A224" s="1"/>
      <c r="B224" s="23"/>
      <c r="C224" s="23"/>
      <c r="D224" s="23"/>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spans="1:36" ht="12" customHeight="1">
      <c r="A225" s="1"/>
      <c r="B225" s="23"/>
      <c r="C225" s="23"/>
      <c r="D225" s="23"/>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row>
    <row r="226" spans="1:36" ht="12" customHeight="1">
      <c r="A226" s="1"/>
      <c r="B226" s="23"/>
      <c r="C226" s="23"/>
      <c r="D226" s="23"/>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row>
    <row r="227" spans="1:36" ht="12" customHeight="1">
      <c r="A227" s="1"/>
      <c r="B227" s="23"/>
      <c r="C227" s="23"/>
      <c r="D227" s="23"/>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row>
    <row r="228" spans="1:36" ht="12" customHeight="1">
      <c r="A228" s="1"/>
      <c r="B228" s="23"/>
      <c r="C228" s="23"/>
      <c r="D228" s="23"/>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row>
    <row r="229" spans="1:36" ht="12" customHeight="1">
      <c r="A229" s="1"/>
      <c r="B229" s="23"/>
      <c r="C229" s="23"/>
      <c r="D229" s="23"/>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row>
    <row r="230" spans="1:36" ht="12" customHeight="1">
      <c r="A230" s="1"/>
      <c r="B230" s="23"/>
      <c r="C230" s="23"/>
      <c r="D230" s="23"/>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row>
    <row r="231" spans="1:36" ht="12" customHeight="1">
      <c r="A231" s="1"/>
      <c r="B231" s="23"/>
      <c r="C231" s="23"/>
      <c r="D231" s="23"/>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row>
    <row r="232" spans="1:36" ht="12" customHeight="1">
      <c r="A232" s="1"/>
      <c r="B232" s="23"/>
      <c r="C232" s="23"/>
      <c r="D232" s="23"/>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row>
    <row r="233" spans="1:36" ht="12" customHeight="1">
      <c r="A233" s="1"/>
      <c r="B233" s="23"/>
      <c r="C233" s="23"/>
      <c r="D233" s="23"/>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row>
    <row r="234" spans="1:36" ht="12" customHeight="1">
      <c r="A234" s="1"/>
      <c r="B234" s="23"/>
      <c r="C234" s="23"/>
      <c r="D234" s="23"/>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row>
    <row r="235" spans="1:36" ht="12" customHeight="1">
      <c r="A235" s="1"/>
      <c r="B235" s="23"/>
      <c r="C235" s="23"/>
      <c r="D235" s="23"/>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row>
    <row r="236" spans="1:36" ht="12" customHeight="1">
      <c r="A236" s="1"/>
      <c r="B236" s="23"/>
      <c r="C236" s="23"/>
      <c r="D236" s="23"/>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row>
    <row r="237" spans="1:36" ht="12" customHeight="1">
      <c r="A237" s="1"/>
      <c r="B237" s="23"/>
      <c r="C237" s="23"/>
      <c r="D237" s="23"/>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row>
    <row r="238" spans="1:36" ht="12" customHeight="1">
      <c r="A238" s="1"/>
      <c r="B238" s="23"/>
      <c r="C238" s="23"/>
      <c r="D238" s="23"/>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row>
    <row r="239" spans="1:36" ht="12" customHeight="1">
      <c r="A239" s="1"/>
      <c r="B239" s="23"/>
      <c r="C239" s="23"/>
      <c r="D239" s="23"/>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row>
    <row r="240" spans="1:36" ht="12" customHeight="1">
      <c r="A240" s="1"/>
      <c r="B240" s="23"/>
      <c r="C240" s="23"/>
      <c r="D240" s="23"/>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row>
    <row r="241" spans="1:36" ht="12" customHeight="1">
      <c r="A241" s="1"/>
      <c r="B241" s="23"/>
      <c r="C241" s="23"/>
      <c r="D241" s="23"/>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row>
    <row r="242" spans="1:36" ht="12" customHeight="1">
      <c r="A242" s="1"/>
      <c r="B242" s="23"/>
      <c r="C242" s="23"/>
      <c r="D242" s="23"/>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row>
    <row r="243" spans="1:36" ht="12" customHeight="1">
      <c r="A243" s="1"/>
      <c r="B243" s="23"/>
      <c r="C243" s="23"/>
      <c r="D243" s="23"/>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row>
    <row r="244" spans="1:36" ht="12" customHeight="1">
      <c r="A244" s="1"/>
      <c r="B244" s="23"/>
      <c r="C244" s="23"/>
      <c r="D244" s="23"/>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row>
    <row r="245" spans="1:36" ht="12" customHeight="1">
      <c r="A245" s="1"/>
      <c r="B245" s="23"/>
      <c r="C245" s="23"/>
      <c r="D245" s="23"/>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row>
    <row r="246" spans="1:36" ht="12" customHeight="1">
      <c r="A246" s="1"/>
      <c r="B246" s="23"/>
      <c r="C246" s="23"/>
      <c r="D246" s="23"/>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row>
    <row r="247" spans="1:36" ht="12" customHeight="1">
      <c r="A247" s="1"/>
      <c r="B247" s="23"/>
      <c r="C247" s="23"/>
      <c r="D247" s="23"/>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row>
    <row r="248" spans="1:36" ht="12" customHeight="1">
      <c r="A248" s="1"/>
      <c r="B248" s="23"/>
      <c r="C248" s="23"/>
      <c r="D248" s="23"/>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row>
    <row r="249" spans="1:36" ht="12" customHeight="1">
      <c r="A249" s="1"/>
      <c r="B249" s="23"/>
      <c r="C249" s="23"/>
      <c r="D249" s="23"/>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row>
    <row r="250" spans="1:36" ht="12" customHeight="1">
      <c r="A250" s="1"/>
      <c r="B250" s="23"/>
      <c r="C250" s="23"/>
      <c r="D250" s="23"/>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row>
    <row r="251" spans="1:36" ht="12" customHeight="1">
      <c r="A251" s="1"/>
      <c r="B251" s="23"/>
      <c r="C251" s="23"/>
      <c r="D251" s="23"/>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row>
    <row r="252" spans="1:36" ht="12" customHeight="1">
      <c r="A252" s="1"/>
      <c r="B252" s="23"/>
      <c r="C252" s="23"/>
      <c r="D252" s="23"/>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row>
    <row r="253" spans="1:36" ht="12" customHeight="1">
      <c r="A253" s="1"/>
      <c r="B253" s="23"/>
      <c r="C253" s="23"/>
      <c r="D253" s="23"/>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row>
    <row r="254" spans="1:36" ht="12" customHeight="1">
      <c r="A254" s="1"/>
      <c r="B254" s="23"/>
      <c r="C254" s="23"/>
      <c r="D254" s="23"/>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row>
    <row r="255" spans="1:36" ht="12" customHeight="1">
      <c r="A255" s="1"/>
      <c r="B255" s="23"/>
      <c r="C255" s="23"/>
      <c r="D255" s="23"/>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row>
    <row r="256" spans="1:36" ht="12" customHeight="1">
      <c r="A256" s="1"/>
      <c r="B256" s="23"/>
      <c r="C256" s="23"/>
      <c r="D256" s="23"/>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row>
    <row r="257" spans="1:36" ht="12" customHeight="1">
      <c r="A257" s="1"/>
      <c r="B257" s="23"/>
      <c r="C257" s="23"/>
      <c r="D257" s="23"/>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row>
    <row r="258" spans="1:36" ht="12" customHeight="1">
      <c r="A258" s="1"/>
      <c r="B258" s="23"/>
      <c r="C258" s="23"/>
      <c r="D258" s="23"/>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row>
    <row r="259" spans="1:36" ht="12" customHeight="1">
      <c r="A259" s="1"/>
      <c r="B259" s="23"/>
      <c r="C259" s="23"/>
      <c r="D259" s="23"/>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row>
    <row r="260" spans="1:36" ht="12" customHeight="1">
      <c r="A260" s="1"/>
      <c r="B260" s="23"/>
      <c r="C260" s="23"/>
      <c r="D260" s="23"/>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row>
    <row r="261" spans="1:36" ht="12" customHeight="1">
      <c r="A261" s="1"/>
      <c r="B261" s="23"/>
      <c r="C261" s="23"/>
      <c r="D261" s="23"/>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row>
    <row r="262" spans="1:36" ht="12" customHeight="1">
      <c r="A262" s="1"/>
      <c r="B262" s="23"/>
      <c r="C262" s="23"/>
      <c r="D262" s="23"/>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row>
    <row r="263" spans="1:36" ht="12" customHeight="1">
      <c r="A263" s="1"/>
      <c r="B263" s="23"/>
      <c r="C263" s="23"/>
      <c r="D263" s="23"/>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row>
    <row r="264" spans="1:36" ht="12" customHeight="1">
      <c r="A264" s="1"/>
      <c r="B264" s="23"/>
      <c r="C264" s="23"/>
      <c r="D264" s="23"/>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row>
    <row r="265" spans="1:36" ht="12" customHeight="1">
      <c r="A265" s="1"/>
      <c r="B265" s="23"/>
      <c r="C265" s="23"/>
      <c r="D265" s="23"/>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row>
    <row r="266" spans="1:36" ht="12" customHeight="1">
      <c r="A266" s="1"/>
      <c r="B266" s="23"/>
      <c r="C266" s="23"/>
      <c r="D266" s="23"/>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row>
    <row r="267" spans="1:36" ht="12" customHeight="1">
      <c r="A267" s="1"/>
      <c r="B267" s="23"/>
      <c r="C267" s="23"/>
      <c r="D267" s="23"/>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row>
    <row r="268" spans="1:36" ht="12" customHeight="1">
      <c r="A268" s="1"/>
      <c r="B268" s="23"/>
      <c r="C268" s="23"/>
      <c r="D268" s="23"/>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row>
    <row r="269" spans="1:36" ht="12" customHeight="1">
      <c r="A269" s="1"/>
      <c r="B269" s="23"/>
      <c r="C269" s="23"/>
      <c r="D269" s="23"/>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row>
    <row r="270" spans="1:36" ht="12" customHeight="1">
      <c r="A270" s="1"/>
      <c r="B270" s="23"/>
      <c r="C270" s="23"/>
      <c r="D270" s="23"/>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row>
    <row r="271" spans="1:36" ht="12" customHeight="1">
      <c r="A271" s="1"/>
      <c r="B271" s="23"/>
      <c r="C271" s="23"/>
      <c r="D271" s="23"/>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row>
    <row r="272" spans="1:36" ht="12" customHeight="1">
      <c r="A272" s="1"/>
      <c r="B272" s="23"/>
      <c r="C272" s="23"/>
      <c r="D272" s="23"/>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row>
    <row r="273" spans="1:36" ht="12" customHeight="1">
      <c r="A273" s="1"/>
      <c r="B273" s="23"/>
      <c r="C273" s="23"/>
      <c r="D273" s="23"/>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row>
    <row r="274" spans="1:36" ht="12" customHeight="1">
      <c r="A274" s="1"/>
      <c r="B274" s="23"/>
      <c r="C274" s="23"/>
      <c r="D274" s="23"/>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row>
    <row r="275" spans="1:36" ht="12" customHeight="1">
      <c r="A275" s="1"/>
      <c r="B275" s="23"/>
      <c r="C275" s="23"/>
      <c r="D275" s="23"/>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row>
    <row r="276" spans="1:36" ht="12" customHeight="1">
      <c r="A276" s="1"/>
      <c r="B276" s="23"/>
      <c r="C276" s="23"/>
      <c r="D276" s="23"/>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row>
    <row r="277" spans="1:36" ht="12" customHeight="1">
      <c r="A277" s="1"/>
      <c r="B277" s="23"/>
      <c r="C277" s="23"/>
      <c r="D277" s="23"/>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row>
    <row r="278" spans="1:36" ht="12" customHeight="1">
      <c r="A278" s="1"/>
      <c r="B278" s="23"/>
      <c r="C278" s="23"/>
      <c r="D278" s="23"/>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row>
    <row r="279" spans="1:36" ht="12" customHeight="1">
      <c r="A279" s="1"/>
      <c r="B279" s="23"/>
      <c r="C279" s="23"/>
      <c r="D279" s="23"/>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row>
    <row r="280" spans="1:36" ht="12" customHeight="1">
      <c r="A280" s="1"/>
      <c r="B280" s="23"/>
      <c r="C280" s="23"/>
      <c r="D280" s="23"/>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row>
    <row r="281" spans="1:36" ht="12" customHeight="1">
      <c r="A281" s="1"/>
      <c r="B281" s="23"/>
      <c r="C281" s="23"/>
      <c r="D281" s="23"/>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row>
    <row r="282" spans="1:36" ht="12" customHeight="1">
      <c r="A282" s="1"/>
      <c r="B282" s="23"/>
      <c r="C282" s="23"/>
      <c r="D282" s="23"/>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row>
    <row r="283" spans="1:36" ht="12" customHeight="1">
      <c r="A283" s="1"/>
      <c r="B283" s="23"/>
      <c r="C283" s="23"/>
      <c r="D283" s="23"/>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row>
    <row r="284" spans="1:36" ht="12" customHeight="1">
      <c r="A284" s="1"/>
      <c r="B284" s="23"/>
      <c r="C284" s="23"/>
      <c r="D284" s="23"/>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row>
    <row r="285" spans="1:36" ht="12" customHeight="1">
      <c r="A285" s="1"/>
      <c r="B285" s="23"/>
      <c r="C285" s="23"/>
      <c r="D285" s="23"/>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row>
    <row r="286" spans="1:36" ht="12" customHeight="1">
      <c r="A286" s="1"/>
      <c r="B286" s="23"/>
      <c r="C286" s="23"/>
      <c r="D286" s="23"/>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row>
    <row r="287" spans="1:36" ht="12" customHeight="1">
      <c r="A287" s="1"/>
      <c r="B287" s="23"/>
      <c r="C287" s="23"/>
      <c r="D287" s="23"/>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row>
    <row r="288" spans="1:36" ht="12" customHeight="1">
      <c r="A288" s="1"/>
      <c r="B288" s="23"/>
      <c r="C288" s="23"/>
      <c r="D288" s="23"/>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row>
    <row r="289" spans="1:36" ht="12" customHeight="1">
      <c r="A289" s="1"/>
      <c r="B289" s="23"/>
      <c r="C289" s="23"/>
      <c r="D289" s="23"/>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row>
    <row r="290" spans="1:36" ht="12" customHeight="1">
      <c r="A290" s="1"/>
      <c r="B290" s="23"/>
      <c r="C290" s="23"/>
      <c r="D290" s="23"/>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row>
    <row r="291" spans="1:36" ht="12" customHeight="1">
      <c r="A291" s="1"/>
      <c r="B291" s="23"/>
      <c r="C291" s="23"/>
      <c r="D291" s="23"/>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row>
    <row r="292" spans="1:36" ht="12" customHeight="1">
      <c r="A292" s="1"/>
      <c r="B292" s="23"/>
      <c r="C292" s="23"/>
      <c r="D292" s="23"/>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row>
    <row r="293" spans="1:36" ht="12" customHeight="1">
      <c r="A293" s="1"/>
      <c r="B293" s="23"/>
      <c r="C293" s="23"/>
      <c r="D293" s="23"/>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row>
    <row r="294" spans="1:36" ht="12" customHeight="1">
      <c r="A294" s="1"/>
      <c r="B294" s="23"/>
      <c r="C294" s="23"/>
      <c r="D294" s="23"/>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row>
    <row r="295" spans="1:36" ht="12" customHeight="1">
      <c r="A295" s="1"/>
      <c r="B295" s="23"/>
      <c r="C295" s="23"/>
      <c r="D295" s="23"/>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row>
    <row r="296" spans="1:36" ht="12" customHeight="1">
      <c r="A296" s="1"/>
      <c r="B296" s="23"/>
      <c r="C296" s="23"/>
      <c r="D296" s="23"/>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row>
    <row r="297" spans="1:36" ht="12" customHeight="1">
      <c r="A297" s="1"/>
      <c r="B297" s="23"/>
      <c r="C297" s="23"/>
      <c r="D297" s="23"/>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row>
    <row r="298" spans="1:36" ht="12" customHeight="1">
      <c r="A298" s="1"/>
      <c r="B298" s="23"/>
      <c r="C298" s="23"/>
      <c r="D298" s="23"/>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row>
    <row r="299" spans="1:36" ht="12" customHeight="1">
      <c r="A299" s="1"/>
      <c r="B299" s="23"/>
      <c r="C299" s="23"/>
      <c r="D299" s="23"/>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row>
    <row r="300" spans="1:36" ht="12" customHeight="1">
      <c r="A300" s="1"/>
      <c r="B300" s="23"/>
      <c r="C300" s="23"/>
      <c r="D300" s="23"/>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row>
    <row r="301" spans="1:36" ht="12" customHeight="1">
      <c r="A301" s="1"/>
      <c r="B301" s="23"/>
      <c r="C301" s="23"/>
      <c r="D301" s="23"/>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row>
    <row r="302" spans="1:36" ht="12" customHeight="1">
      <c r="A302" s="1"/>
      <c r="B302" s="23"/>
      <c r="C302" s="23"/>
      <c r="D302" s="23"/>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row>
    <row r="303" spans="1:36" ht="12" customHeight="1">
      <c r="A303" s="1"/>
      <c r="B303" s="23"/>
      <c r="C303" s="23"/>
      <c r="D303" s="23"/>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row>
    <row r="304" spans="1:36" ht="12" customHeight="1">
      <c r="A304" s="1"/>
      <c r="B304" s="23"/>
      <c r="C304" s="23"/>
      <c r="D304" s="23"/>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row>
    <row r="305" spans="1:36" ht="12" customHeight="1">
      <c r="A305" s="1"/>
      <c r="B305" s="23"/>
      <c r="C305" s="23"/>
      <c r="D305" s="23"/>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row>
    <row r="306" spans="1:36" ht="12" customHeight="1">
      <c r="A306" s="1"/>
      <c r="B306" s="23"/>
      <c r="C306" s="23"/>
      <c r="D306" s="23"/>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row>
    <row r="307" spans="1:36" ht="12" customHeight="1">
      <c r="A307" s="1"/>
      <c r="B307" s="23"/>
      <c r="C307" s="23"/>
      <c r="D307" s="23"/>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row>
    <row r="308" spans="1:36" ht="12" customHeight="1">
      <c r="A308" s="1"/>
      <c r="B308" s="23"/>
      <c r="C308" s="23"/>
      <c r="D308" s="23"/>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row>
    <row r="309" spans="1:36" ht="12" customHeight="1">
      <c r="A309" s="1"/>
      <c r="B309" s="23"/>
      <c r="C309" s="23"/>
      <c r="D309" s="23"/>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row>
    <row r="310" spans="1:36" ht="12" customHeight="1">
      <c r="A310" s="1"/>
      <c r="B310" s="23"/>
      <c r="C310" s="23"/>
      <c r="D310" s="23"/>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row>
    <row r="311" spans="1:36" ht="12" customHeight="1">
      <c r="A311" s="1"/>
      <c r="B311" s="23"/>
      <c r="C311" s="23"/>
      <c r="D311" s="23"/>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row>
    <row r="312" spans="1:36" ht="12" customHeight="1">
      <c r="A312" s="1"/>
      <c r="B312" s="23"/>
      <c r="C312" s="23"/>
      <c r="D312" s="23"/>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row>
    <row r="313" spans="1:36" ht="12" customHeight="1">
      <c r="A313" s="1"/>
      <c r="B313" s="23"/>
      <c r="C313" s="23"/>
      <c r="D313" s="23"/>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row>
    <row r="314" spans="1:36" ht="12" customHeight="1">
      <c r="A314" s="1"/>
      <c r="B314" s="23"/>
      <c r="C314" s="23"/>
      <c r="D314" s="23"/>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row>
    <row r="315" spans="1:36" ht="12" customHeight="1">
      <c r="A315" s="1"/>
      <c r="B315" s="23"/>
      <c r="C315" s="23"/>
      <c r="D315" s="23"/>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row>
    <row r="316" spans="1:36" ht="12" customHeight="1">
      <c r="A316" s="1"/>
      <c r="B316" s="23"/>
      <c r="C316" s="23"/>
      <c r="D316" s="23"/>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row>
    <row r="317" spans="1:36" ht="12" customHeight="1">
      <c r="A317" s="1"/>
      <c r="B317" s="23"/>
      <c r="C317" s="23"/>
      <c r="D317" s="23"/>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row>
    <row r="318" spans="1:36" ht="12" customHeight="1">
      <c r="A318" s="1"/>
      <c r="B318" s="23"/>
      <c r="C318" s="23"/>
      <c r="D318" s="23"/>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row>
    <row r="319" spans="1:36" ht="12" customHeight="1">
      <c r="A319" s="1"/>
      <c r="B319" s="23"/>
      <c r="C319" s="23"/>
      <c r="D319" s="23"/>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row>
    <row r="320" spans="1:36" ht="12" customHeight="1">
      <c r="A320" s="1"/>
      <c r="B320" s="23"/>
      <c r="C320" s="23"/>
      <c r="D320" s="23"/>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row>
    <row r="321" spans="1:36" ht="12" customHeight="1">
      <c r="A321" s="1"/>
      <c r="B321" s="23"/>
      <c r="C321" s="23"/>
      <c r="D321" s="23"/>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row>
    <row r="322" spans="1:36" ht="12" customHeight="1">
      <c r="A322" s="1"/>
      <c r="B322" s="23"/>
      <c r="C322" s="23"/>
      <c r="D322" s="23"/>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row>
    <row r="323" spans="1:36" ht="12" customHeight="1">
      <c r="A323" s="1"/>
      <c r="B323" s="23"/>
      <c r="C323" s="23"/>
      <c r="D323" s="23"/>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row>
    <row r="324" spans="1:36" ht="12" customHeight="1">
      <c r="A324" s="1"/>
      <c r="B324" s="23"/>
      <c r="C324" s="23"/>
      <c r="D324" s="23"/>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row>
    <row r="325" spans="1:36" ht="12" customHeight="1">
      <c r="A325" s="1"/>
      <c r="B325" s="23"/>
      <c r="C325" s="23"/>
      <c r="D325" s="23"/>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row>
    <row r="326" spans="1:36" ht="12" customHeight="1">
      <c r="A326" s="1"/>
      <c r="B326" s="23"/>
      <c r="C326" s="23"/>
      <c r="D326" s="23"/>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row>
    <row r="327" spans="1:36" ht="12" customHeight="1">
      <c r="A327" s="1"/>
      <c r="B327" s="23"/>
      <c r="C327" s="23"/>
      <c r="D327" s="23"/>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row>
    <row r="328" spans="1:36" ht="12" customHeight="1">
      <c r="A328" s="1"/>
      <c r="B328" s="23"/>
      <c r="C328" s="23"/>
      <c r="D328" s="23"/>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row>
    <row r="329" spans="1:36" ht="12" customHeight="1">
      <c r="A329" s="1"/>
      <c r="B329" s="23"/>
      <c r="C329" s="23"/>
      <c r="D329" s="23"/>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row>
    <row r="330" spans="1:36" ht="12" customHeight="1">
      <c r="A330" s="1"/>
      <c r="B330" s="23"/>
      <c r="C330" s="23"/>
      <c r="D330" s="23"/>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row>
    <row r="331" spans="1:36" ht="12"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row>
    <row r="332" spans="1:36" ht="12"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row>
    <row r="333" spans="1:36" ht="12"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row>
    <row r="334" spans="1:36" ht="12"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row>
    <row r="335" spans="1:36" ht="12"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row>
    <row r="336" spans="1:36" ht="12"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row>
    <row r="337" spans="1:36" ht="12"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row>
    <row r="338" spans="1:36" ht="12"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row>
    <row r="339" spans="1:36" ht="12"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row>
    <row r="340" spans="1:36" ht="12"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row>
    <row r="341" spans="1:36" ht="12"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row>
    <row r="342" spans="1:36" ht="12"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row>
    <row r="343" spans="1:36" ht="12"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row>
    <row r="344" spans="1:36" ht="12"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row>
    <row r="345" spans="1:36" ht="12"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row>
    <row r="346" spans="1:36" ht="12"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row>
    <row r="347" spans="1:36" ht="12"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row>
    <row r="348" spans="1:36" ht="12"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row>
    <row r="349" spans="1:36" ht="12"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row>
    <row r="350" spans="1:36" ht="12"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row>
    <row r="351" spans="1:36" ht="12"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row>
    <row r="352" spans="1:36" ht="12"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row>
    <row r="353" spans="1:36" ht="12"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row>
    <row r="354" spans="1:36" ht="12"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row>
    <row r="355" spans="1:36" ht="12"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row>
    <row r="356" spans="1:36" ht="12"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row>
    <row r="357" spans="1:36" ht="12"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row>
    <row r="358" spans="1:36" ht="12"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row>
    <row r="359" spans="1:36" ht="12"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row>
    <row r="360" spans="1:36" ht="12"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row>
    <row r="361" spans="1:36" ht="12"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row>
    <row r="362" spans="1:36" ht="12"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row>
    <row r="363" spans="1:36" ht="12"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row>
    <row r="364" spans="1:36" ht="12"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row>
    <row r="365" spans="1:36" ht="12"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row>
    <row r="366" spans="1:36" ht="12"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row>
    <row r="367" spans="1:36" ht="12"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row>
    <row r="368" spans="1:36" ht="12"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row>
    <row r="369" spans="1:36" ht="12"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row>
    <row r="370" spans="1:36" ht="12"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row>
    <row r="371" spans="1:36" ht="12"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row>
    <row r="372" spans="1:36" ht="12"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row>
    <row r="373" spans="1:36" ht="12"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row>
    <row r="374" spans="1:36" ht="12"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row>
    <row r="375" spans="1:36" ht="12"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row>
    <row r="376" spans="1:36" ht="12"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row>
    <row r="377" spans="1:36" ht="12"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row>
    <row r="378" spans="1:36" ht="12"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row>
    <row r="379" spans="1:36" ht="12"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row>
    <row r="380" spans="1:36" ht="12"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row>
    <row r="381" spans="1:36" ht="12"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row>
    <row r="382" spans="1:36" ht="12"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row>
    <row r="383" spans="1:36" ht="12"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row>
    <row r="384" spans="1:36" ht="12"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row>
    <row r="385" spans="1:36" ht="12"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row>
    <row r="386" spans="1:36" ht="12"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row>
    <row r="387" spans="1:36" ht="12"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row>
    <row r="388" spans="1:36" ht="12"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row>
    <row r="389" spans="1:36" ht="12"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row>
    <row r="390" spans="1:36" ht="12"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row>
    <row r="391" spans="1:36" ht="12"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row>
    <row r="392" spans="1:36" ht="12"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row>
    <row r="393" spans="1:36" ht="12"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row>
    <row r="394" spans="1:36" ht="12"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row>
    <row r="395" spans="1:36" ht="12"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row>
    <row r="396" spans="1:36" ht="12"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row>
    <row r="397" spans="1:36" ht="12"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row>
    <row r="398" spans="1:36" ht="12"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row>
    <row r="399" spans="1:36" ht="12"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row>
    <row r="400" spans="1:36" ht="12"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row>
    <row r="401" spans="1:36" ht="12"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row>
    <row r="402" spans="1:36" ht="12"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row>
    <row r="403" spans="1:36" ht="12"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row>
    <row r="404" spans="1:36" ht="12"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row>
    <row r="405" spans="1:36" ht="12"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row>
    <row r="406" spans="1:36" ht="12"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row>
    <row r="407" spans="1:36" ht="12"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row>
    <row r="408" spans="1:36" ht="12"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row>
    <row r="409" spans="1:36" ht="12"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row>
    <row r="410" spans="1:36" ht="12"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row>
    <row r="411" spans="1:36" ht="12"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row>
    <row r="412" spans="1:36" ht="12"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row>
    <row r="413" spans="1:36" ht="12"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row>
    <row r="414" spans="1:36" ht="12"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row>
    <row r="415" spans="1:36" ht="12"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row>
    <row r="416" spans="1:36" ht="12"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row>
    <row r="417" spans="1:36" ht="12"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row>
    <row r="418" spans="1:36" ht="12"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row>
    <row r="419" spans="1:36" ht="12"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row>
    <row r="420" spans="1:36" ht="12"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row>
    <row r="421" spans="1:36" ht="12"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row>
    <row r="422" spans="1:36" ht="12"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row>
    <row r="423" spans="1:36" ht="12"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row>
    <row r="424" spans="1:36" ht="12"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row>
    <row r="425" spans="1:36" ht="12"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row>
    <row r="426" spans="1:36" ht="12"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row>
    <row r="427" spans="1:36" ht="12"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row>
    <row r="428" spans="1:36" ht="12"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row>
    <row r="429" spans="1:36" ht="12"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row>
    <row r="430" spans="1:36" ht="12"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row>
    <row r="431" spans="1:36" ht="12"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row>
    <row r="432" spans="1:36" ht="12"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row>
    <row r="433" spans="1:36" ht="12"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row>
    <row r="434" spans="1:36" ht="12"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row>
    <row r="435" spans="1:36" ht="12"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row>
    <row r="436" spans="1:36" ht="12"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row>
    <row r="437" spans="1:36" ht="12"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row>
    <row r="438" spans="1:36" ht="12"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row>
    <row r="439" spans="1:36" ht="12"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row>
    <row r="440" spans="1:36" ht="12"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row>
    <row r="441" spans="1:36" ht="12"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row>
    <row r="442" spans="1:36" ht="12"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row>
    <row r="443" spans="1:36" ht="12"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row>
    <row r="444" spans="1:36" ht="12"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row>
    <row r="445" spans="1:36" ht="12"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row>
    <row r="446" spans="1:36" ht="12"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row>
    <row r="447" spans="1:36" ht="12"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row>
    <row r="448" spans="1:36" ht="12"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row>
    <row r="449" spans="1:36" ht="12"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row>
    <row r="450" spans="1:36" ht="12"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row>
    <row r="451" spans="1:36" ht="12"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row>
    <row r="452" spans="1:36" ht="12"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row>
    <row r="453" spans="1:36" ht="12"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row>
    <row r="454" spans="1:36" ht="12"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row>
    <row r="455" spans="1:36" ht="12"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row>
    <row r="456" spans="1:36" ht="12"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row>
    <row r="457" spans="1:36" ht="12"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row>
    <row r="458" spans="1:36" ht="12"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row>
    <row r="459" spans="1:36" ht="12"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row>
    <row r="460" spans="1:36" ht="12"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row>
    <row r="461" spans="1:36" ht="12"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row>
    <row r="462" spans="1:36" ht="12"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row>
    <row r="463" spans="1:36" ht="12"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row>
    <row r="464" spans="1:36" ht="12"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row>
    <row r="465" spans="1:36" ht="12"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row>
    <row r="466" spans="1:36" ht="12"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row>
    <row r="467" spans="1:36" ht="12"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row>
    <row r="468" spans="1:36" ht="12"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row>
    <row r="469" spans="1:36" ht="12"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row>
    <row r="470" spans="1:36" ht="12"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row>
    <row r="471" spans="1:36" ht="12"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row>
    <row r="472" spans="1:36" ht="12"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row>
    <row r="473" spans="1:36" ht="12"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row>
    <row r="474" spans="1:36" ht="12"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row>
    <row r="475" spans="1:36" ht="12"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row>
    <row r="476" spans="1:36" ht="12"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row>
    <row r="477" spans="1:36" ht="12"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row>
    <row r="478" spans="1:36" ht="12"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row>
    <row r="479" spans="1:36" ht="12"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row>
    <row r="480" spans="1:36" ht="12"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row>
    <row r="481" spans="1:36" ht="12"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row>
    <row r="482" spans="1:36" ht="12"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row>
    <row r="483" spans="1:36" ht="12"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row>
    <row r="484" spans="1:36" ht="12"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row>
    <row r="485" spans="1:36" ht="12"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row>
    <row r="486" spans="1:36" ht="12"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row>
    <row r="487" spans="1:36" ht="12"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row>
    <row r="488" spans="1:36" ht="12"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row>
    <row r="489" spans="1:36" ht="12"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row>
    <row r="490" spans="1:36" ht="12"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row>
    <row r="491" spans="1:36" ht="12"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row>
    <row r="492" spans="1:36" ht="12"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row>
    <row r="493" spans="1:36" ht="12"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row>
    <row r="494" spans="1:36" ht="12"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row>
    <row r="495" spans="1:36" ht="12"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row>
    <row r="496" spans="1:36" ht="12"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row>
    <row r="497" spans="1:36" ht="12"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row>
    <row r="498" spans="1:36" ht="12"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row>
    <row r="499" spans="1:36" ht="12"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row>
    <row r="500" spans="1:36" ht="12"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row>
    <row r="501" spans="1:36" ht="12"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row>
    <row r="502" spans="1:36" ht="12"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row>
    <row r="503" spans="1:36" ht="12"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row>
    <row r="504" spans="1:36" ht="12"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row>
    <row r="505" spans="1:36" ht="12"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row>
    <row r="506" spans="1:36" ht="12"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row>
    <row r="507" spans="1:36" ht="12"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row>
    <row r="508" spans="1:36" ht="12"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row>
    <row r="509" spans="1:36" ht="12"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row>
    <row r="510" spans="1:36" ht="12"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row>
    <row r="511" spans="1:36" ht="12"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row>
    <row r="512" spans="1:36" ht="12"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row>
    <row r="513" spans="1:36" ht="12"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row>
    <row r="514" spans="1:36" ht="12"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row>
    <row r="515" spans="1:36" ht="12"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row>
    <row r="516" spans="1:36" ht="12"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row>
    <row r="517" spans="1:36" ht="12"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row>
    <row r="518" spans="1:36" ht="12"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row>
    <row r="519" spans="1:36" ht="12"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row>
    <row r="520" spans="1:36" ht="12"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row>
    <row r="521" spans="1:36" ht="12"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row>
    <row r="522" spans="1:36" ht="12"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row>
    <row r="523" spans="1:36" ht="12"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row>
    <row r="524" spans="1:36" ht="12"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row>
    <row r="525" spans="1:36" ht="12"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row>
    <row r="526" spans="1:36" ht="12"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row>
    <row r="527" spans="1:36" ht="12"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row>
    <row r="528" spans="1:36" ht="12"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row>
    <row r="529" spans="1:36" ht="12"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row>
    <row r="530" spans="1:36" ht="12"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row>
    <row r="531" spans="1:36" ht="12"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row>
    <row r="532" spans="1:36" ht="12"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row>
    <row r="533" spans="1:36" ht="12"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row>
    <row r="534" spans="1:36" ht="12"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row>
    <row r="535" spans="1:36" ht="12"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row>
    <row r="536" spans="1:36" ht="12"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row>
    <row r="537" spans="1:36" ht="12"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row>
    <row r="538" spans="1:36" ht="12"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row>
    <row r="539" spans="1:36" ht="12"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row>
    <row r="540" spans="1:36" ht="12"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row>
    <row r="541" spans="1:36" ht="12"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row>
    <row r="542" spans="1:36" ht="12"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row>
    <row r="543" spans="1:36" ht="12"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row>
    <row r="544" spans="1:36" ht="12"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row>
    <row r="545" spans="1:36" ht="12"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row>
    <row r="546" spans="1:36" ht="12"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row>
    <row r="547" spans="1:36" ht="12"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row>
    <row r="548" spans="1:36" ht="12"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row>
    <row r="549" spans="1:36" ht="12"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row>
    <row r="550" spans="1:36" ht="12"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row>
    <row r="551" spans="1:36" ht="12"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row>
    <row r="552" spans="1:36" ht="12"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row>
    <row r="553" spans="1:36" ht="12"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row>
    <row r="554" spans="1:36" ht="12"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row>
    <row r="555" spans="1:36" ht="12"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row>
    <row r="556" spans="1:36" ht="12"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row>
    <row r="557" spans="1:36" ht="12"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row>
    <row r="558" spans="1:36" ht="12"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row>
    <row r="559" spans="1:36" ht="12"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row>
    <row r="560" spans="1:36" ht="12"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row>
    <row r="561" spans="1:36" ht="12"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row>
    <row r="562" spans="1:36" ht="12"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row>
    <row r="563" spans="1:36" ht="12"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row>
    <row r="564" spans="1:36" ht="12"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row>
    <row r="565" spans="1:36" ht="12"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row>
    <row r="566" spans="1:36" ht="12"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row>
    <row r="567" spans="1:36" ht="12"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row>
    <row r="568" spans="1:36" ht="12"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row>
    <row r="569" spans="1:36" ht="12"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row>
    <row r="570" spans="1:36" ht="12"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row>
    <row r="571" spans="1:36" ht="12"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row>
    <row r="572" spans="1:36" ht="12"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row>
    <row r="573" spans="1:36" ht="12"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row>
    <row r="574" spans="1:36" ht="12"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row>
    <row r="575" spans="1:36" ht="12"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row>
    <row r="576" spans="1:36" ht="12"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row>
    <row r="577" spans="1:36" ht="12"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row>
    <row r="578" spans="1:36" ht="12"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row>
    <row r="579" spans="1:36" ht="12"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row>
    <row r="580" spans="1:36" ht="12"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row>
    <row r="581" spans="1:36" ht="12"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row>
    <row r="582" spans="1:36" ht="12"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row>
    <row r="583" spans="1:36" ht="12"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row>
    <row r="584" spans="1:36" ht="12"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row>
    <row r="585" spans="1:36" ht="12"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row>
    <row r="586" spans="1:36" ht="12"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row>
    <row r="587" spans="1:36" ht="12"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row>
    <row r="588" spans="1:36" ht="12"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row>
    <row r="589" spans="1:36" ht="12"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row>
    <row r="590" spans="1:36" ht="12"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row>
    <row r="591" spans="1:36" ht="12"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row>
    <row r="592" spans="1:36" ht="12"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row>
    <row r="593" spans="1:36" ht="12"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row>
    <row r="594" spans="1:36" ht="12"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row>
    <row r="595" spans="1:36" ht="12"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row>
    <row r="596" spans="1:36" ht="12"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row>
    <row r="597" spans="1:36" ht="12"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row>
    <row r="598" spans="1:36" ht="12"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row>
    <row r="599" spans="1:36" ht="12"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row>
    <row r="600" spans="1:36" ht="12"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row>
    <row r="601" spans="1:36" ht="12"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row>
    <row r="602" spans="1:36" ht="12"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row>
    <row r="603" spans="1:36" ht="12"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row>
    <row r="604" spans="1:36" ht="12"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row>
    <row r="605" spans="1:36" ht="12"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row>
    <row r="606" spans="1:36" ht="12"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row>
    <row r="607" spans="1:36" ht="12"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row>
    <row r="608" spans="1:36" ht="12"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row>
    <row r="609" spans="1:36" ht="12"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row>
    <row r="610" spans="1:36" ht="12"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row>
    <row r="611" spans="1:36" ht="12"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row>
    <row r="612" spans="1:36" ht="12"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row>
    <row r="613" spans="1:36" ht="12"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row>
    <row r="614" spans="1:36" ht="12"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row>
    <row r="615" spans="1:36" ht="12"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row>
    <row r="616" spans="1:36" ht="12"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row>
    <row r="617" spans="1:36" ht="12"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row>
    <row r="618" spans="1:36" ht="12"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row>
    <row r="619" spans="1:36" ht="12"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row>
    <row r="620" spans="1:36" ht="12"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row>
    <row r="621" spans="1:36" ht="12"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row>
    <row r="622" spans="1:36" ht="12"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row>
    <row r="623" spans="1:36" ht="12"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row>
    <row r="624" spans="1:36" ht="12"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row>
    <row r="625" spans="1:36" ht="12"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row>
    <row r="626" spans="1:36" ht="12"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row>
    <row r="627" spans="1:36" ht="12"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row>
    <row r="628" spans="1:36" ht="12"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row>
    <row r="629" spans="1:36" ht="12"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row>
    <row r="630" spans="1:36" ht="12"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row>
    <row r="631" spans="1:36" ht="12"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row>
    <row r="632" spans="1:36" ht="12"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row>
    <row r="633" spans="1:36" ht="12"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row>
    <row r="634" spans="1:36" ht="12"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row>
    <row r="635" spans="1:36" ht="12"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row>
    <row r="636" spans="1:36" ht="12"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row>
    <row r="637" spans="1:36" ht="12"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row>
    <row r="638" spans="1:36" ht="12"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row>
    <row r="639" spans="1:36" ht="12"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row>
    <row r="640" spans="1:36" ht="12"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row>
    <row r="641" spans="1:36" ht="12"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row>
    <row r="642" spans="1:36" ht="12"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row>
    <row r="643" spans="1:36" ht="12"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row>
    <row r="644" spans="1:36" ht="12"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row>
    <row r="645" spans="1:36" ht="12"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row>
    <row r="646" spans="1:36" ht="12"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row>
    <row r="647" spans="1:36" ht="12"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row>
    <row r="648" spans="1:36" ht="12"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row>
    <row r="649" spans="1:36" ht="12"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row>
    <row r="650" spans="1:36" ht="12"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row>
    <row r="651" spans="1:36" ht="12"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row>
    <row r="652" spans="1:36" ht="12"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row>
    <row r="653" spans="1:36" ht="12"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row>
    <row r="654" spans="1:36" ht="12"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row>
    <row r="655" spans="1:36" ht="12"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row>
    <row r="656" spans="1:36" ht="12"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row>
    <row r="657" spans="1:36" ht="12"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row>
    <row r="658" spans="1:36" ht="12"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row>
    <row r="659" spans="1:36" ht="12"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row>
    <row r="660" spans="1:36" ht="12"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row>
    <row r="661" spans="1:36" ht="12"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row>
    <row r="662" spans="1:36" ht="12"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row>
    <row r="663" spans="1:36" ht="12"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row>
    <row r="664" spans="1:36" ht="12"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row>
    <row r="665" spans="1:36" ht="12"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row>
    <row r="666" spans="1:36" ht="12"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row>
    <row r="667" spans="1:36" ht="12"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row>
    <row r="668" spans="1:36" ht="12"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row>
    <row r="669" spans="1:36" ht="12"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row>
    <row r="670" spans="1:36" ht="12"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row>
    <row r="671" spans="1:36" ht="12"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row>
    <row r="672" spans="1:36" ht="12"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row>
    <row r="673" spans="1:36" ht="12"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row>
    <row r="674" spans="1:36" ht="12"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row>
    <row r="675" spans="1:36" ht="12"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row>
    <row r="676" spans="1:36" ht="12"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row>
    <row r="677" spans="1:36" ht="12"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row>
    <row r="678" spans="1:36" ht="12"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row>
    <row r="679" spans="1:36" ht="12"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row>
    <row r="680" spans="1:36" ht="12"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row>
    <row r="681" spans="1:36" ht="12"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row>
    <row r="682" spans="1:36" ht="12"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row>
    <row r="683" spans="1:36" ht="12"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row>
    <row r="684" spans="1:36" ht="12"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row>
    <row r="685" spans="1:36" ht="12"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row>
    <row r="686" spans="1:36" ht="12"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row>
    <row r="687" spans="1:36" ht="12"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row>
    <row r="688" spans="1:36" ht="12"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row>
    <row r="689" spans="1:36" ht="12"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row>
    <row r="690" spans="1:36" ht="12"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row>
    <row r="691" spans="1:36" ht="12"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row>
    <row r="692" spans="1:36" ht="12"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row>
    <row r="693" spans="1:36" ht="12"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row>
    <row r="694" spans="1:36" ht="12"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row>
    <row r="695" spans="1:36" ht="12"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row>
    <row r="696" spans="1:36" ht="12"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row>
    <row r="697" spans="1:36" ht="12"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row>
    <row r="698" spans="1:36" ht="12"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row>
    <row r="699" spans="1:36" ht="12"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row>
    <row r="700" spans="1:36" ht="12"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row>
    <row r="701" spans="1:36" ht="12"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row>
    <row r="702" spans="1:36" ht="12"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row>
    <row r="703" spans="1:36" ht="12"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row>
    <row r="704" spans="1:36" ht="12"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row>
    <row r="705" spans="1:36" ht="12"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row>
    <row r="706" spans="1:36" ht="12"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row>
    <row r="707" spans="1:36" ht="12"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row>
    <row r="708" spans="1:36" ht="12"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row>
    <row r="709" spans="1:36" ht="12"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row>
    <row r="710" spans="1:36" ht="12"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row>
    <row r="711" spans="1:36" ht="12"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row>
    <row r="712" spans="1:36" ht="12"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row>
    <row r="713" spans="1:36" ht="12"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row>
    <row r="714" spans="1:36" ht="12"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row>
    <row r="715" spans="1:36" ht="12"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row>
    <row r="716" spans="1:36" ht="12"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row>
    <row r="717" spans="1:36" ht="12"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row>
    <row r="718" spans="1:36" ht="12"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row>
    <row r="719" spans="1:36" ht="12"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row>
    <row r="720" spans="1:36" ht="12"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row>
    <row r="721" spans="1:36" ht="12"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row>
    <row r="722" spans="1:36" ht="12"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row>
    <row r="723" spans="1:36" ht="12"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row>
    <row r="724" spans="1:36" ht="12"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row>
    <row r="725" spans="1:36" ht="12"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row>
    <row r="726" spans="1:36" ht="12"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row>
    <row r="727" spans="1:36" ht="12"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row>
    <row r="728" spans="1:36" ht="12"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row>
    <row r="729" spans="1:36" ht="12"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row>
    <row r="730" spans="1:36" ht="12"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row>
    <row r="731" spans="1:36" ht="12"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row>
    <row r="732" spans="1:36" ht="12"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row>
    <row r="733" spans="1:36" ht="12"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row>
    <row r="734" spans="1:36" ht="12"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row>
    <row r="735" spans="1:36" ht="12"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row>
    <row r="736" spans="1:36" ht="12"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row>
    <row r="737" spans="1:36" ht="12"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row>
    <row r="738" spans="1:36" ht="12"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row>
    <row r="739" spans="1:36" ht="12"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row>
    <row r="740" spans="1:36" ht="12"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row>
    <row r="741" spans="1:36" ht="12"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row>
    <row r="742" spans="1:36" ht="12"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row>
    <row r="743" spans="1:36" ht="12"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row>
    <row r="744" spans="1:36" ht="12"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row>
    <row r="745" spans="1:36" ht="12"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row>
    <row r="746" spans="1:36" ht="12"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row>
    <row r="747" spans="1:36" ht="12"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row>
    <row r="748" spans="1:36" ht="12"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row>
    <row r="749" spans="1:36" ht="12"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row>
    <row r="750" spans="1:36" ht="12"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row>
    <row r="751" spans="1:36" ht="12"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row>
    <row r="752" spans="1:36" ht="12"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row>
    <row r="753" spans="1:36" ht="12"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row>
    <row r="754" spans="1:36" ht="12"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row>
    <row r="755" spans="1:36" ht="12"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row>
    <row r="756" spans="1:36" ht="12"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row>
    <row r="757" spans="1:36" ht="12"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row>
    <row r="758" spans="1:36" ht="12"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row>
    <row r="759" spans="1:36" ht="12"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row>
    <row r="760" spans="1:36" ht="12"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row>
    <row r="761" spans="1:36" ht="12"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row>
    <row r="762" spans="1:36" ht="12"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row>
    <row r="763" spans="1:36" ht="12"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row>
    <row r="764" spans="1:36" ht="12"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row>
    <row r="765" spans="1:36" ht="12"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row>
    <row r="766" spans="1:36" ht="12"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row>
    <row r="767" spans="1:36" ht="12"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row>
    <row r="768" spans="1:36" ht="12"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row>
    <row r="769" spans="1:36" ht="12"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row>
    <row r="770" spans="1:36" ht="12"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row>
    <row r="771" spans="1:36" ht="12"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row>
    <row r="772" spans="1:36" ht="12"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row>
    <row r="773" spans="1:36" ht="12"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row>
    <row r="774" spans="1:36" ht="12"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row>
    <row r="775" spans="1:36" ht="12"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row>
    <row r="776" spans="1:36" ht="12"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row>
    <row r="777" spans="1:36" ht="12"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row>
    <row r="778" spans="1:36" ht="12"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row>
    <row r="779" spans="1:36" ht="12"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row>
    <row r="780" spans="1:36" ht="12"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row>
    <row r="781" spans="1:36" ht="12"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row>
    <row r="782" spans="1:36" ht="12"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row>
    <row r="783" spans="1:36" ht="12"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row>
    <row r="784" spans="1:36" ht="12"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row>
    <row r="785" spans="1:36" ht="12"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row>
    <row r="786" spans="1:36" ht="12"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row>
    <row r="787" spans="1:36" ht="12"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row>
    <row r="788" spans="1:36" ht="12"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row>
    <row r="789" spans="1:36" ht="12"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row>
    <row r="790" spans="1:36" ht="12"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row>
    <row r="791" spans="1:36" ht="12"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row>
    <row r="792" spans="1:36" ht="12"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row>
    <row r="793" spans="1:36" ht="12"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row>
    <row r="794" spans="1:36" ht="12"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row>
    <row r="795" spans="1:36" ht="12"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row>
    <row r="796" spans="1:36" ht="12"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row>
    <row r="797" spans="1:36" ht="12"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row>
    <row r="798" spans="1:36" ht="12"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row>
    <row r="799" spans="1:36" ht="12"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row>
    <row r="800" spans="1:36" ht="12"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row>
    <row r="801" spans="1:36" ht="12"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row>
    <row r="802" spans="1:36" ht="12"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row>
    <row r="803" spans="1:36" ht="12"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row>
    <row r="804" spans="1:36" ht="12"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row>
    <row r="805" spans="1:36" ht="12"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row>
    <row r="806" spans="1:36" ht="12"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row>
    <row r="807" spans="1:36" ht="12"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row>
    <row r="808" spans="1:36" ht="12"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row>
    <row r="809" spans="1:36" ht="12"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row>
    <row r="810" spans="1:36" ht="12"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row>
    <row r="811" spans="1:36" ht="12"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row>
    <row r="812" spans="1:36" ht="12"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row>
    <row r="813" spans="1:36" ht="12"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row>
    <row r="814" spans="1:36" ht="12"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row>
    <row r="815" spans="1:36" ht="12"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row>
    <row r="816" spans="1:36" ht="12"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row>
    <row r="817" spans="1:36" ht="12"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row>
    <row r="818" spans="1:36" ht="12"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row>
    <row r="819" spans="1:36" ht="12"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row>
    <row r="820" spans="1:36" ht="12"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row>
    <row r="821" spans="1:36" ht="12"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row>
    <row r="822" spans="1:36" ht="12"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row>
    <row r="823" spans="1:36" ht="12"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row>
    <row r="824" spans="1:36" ht="12"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row>
    <row r="825" spans="1:36" ht="12"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row>
    <row r="826" spans="1:36" ht="12"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row>
    <row r="827" spans="1:36" ht="12"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row>
    <row r="828" spans="1:36" ht="12"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row>
    <row r="829" spans="1:36" ht="12"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row>
    <row r="830" spans="1:36" ht="12"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row>
    <row r="831" spans="1:36" ht="12"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row>
    <row r="832" spans="1:36" ht="12"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row>
    <row r="833" spans="1:36" ht="12"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row>
    <row r="834" spans="1:36" ht="12"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row>
    <row r="835" spans="1:36" ht="12"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row>
    <row r="836" spans="1:36" ht="12"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row>
    <row r="837" spans="1:36" ht="12"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row>
    <row r="838" spans="1:36" ht="12"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row>
    <row r="839" spans="1:36" ht="12"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row>
    <row r="840" spans="1:36" ht="12"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row>
    <row r="841" spans="1:36" ht="12"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row>
    <row r="842" spans="1:36" ht="12"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row>
    <row r="843" spans="1:36" ht="12"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row>
    <row r="844" spans="1:36" ht="12"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row>
    <row r="845" spans="1:36" ht="12"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row>
    <row r="846" spans="1:36" ht="12"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row>
    <row r="847" spans="1:36" ht="12"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row>
    <row r="848" spans="1:36" ht="12"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row>
    <row r="849" spans="1:36" ht="12"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row>
    <row r="850" spans="1:36" ht="12"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row>
    <row r="851" spans="1:36" ht="12"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row>
    <row r="852" spans="1:36" ht="12"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row>
    <row r="853" spans="1:36" ht="12"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row>
    <row r="854" spans="1:36" ht="12"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row>
    <row r="855" spans="1:36" ht="12"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row>
    <row r="856" spans="1:36" ht="12"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row>
    <row r="857" spans="1:36" ht="12"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row>
    <row r="858" spans="1:36" ht="12"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row>
    <row r="859" spans="1:36" ht="12"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row>
    <row r="860" spans="1:36" ht="12"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row>
    <row r="861" spans="1:36" ht="12"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row>
    <row r="862" spans="1:36" ht="12"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row>
    <row r="863" spans="1:36" ht="12"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row>
    <row r="864" spans="1:36" ht="12"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row>
    <row r="865" spans="1:36" ht="12"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row>
    <row r="866" spans="1:36" ht="12"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row>
    <row r="867" spans="1:36" ht="12"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row>
    <row r="868" spans="1:36" ht="12"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row>
    <row r="869" spans="1:36" ht="12"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row>
    <row r="870" spans="1:36" ht="12"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row>
    <row r="871" spans="1:36" ht="12"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row>
    <row r="872" spans="1:36" ht="12"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row>
    <row r="873" spans="1:36" ht="12"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row>
    <row r="874" spans="1:36" ht="12"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row>
    <row r="875" spans="1:36" ht="12"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row>
    <row r="876" spans="1:36" ht="12"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row>
    <row r="877" spans="1:36" ht="12"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row>
    <row r="878" spans="1:36" ht="12"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row>
    <row r="879" spans="1:36" ht="12"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row>
    <row r="880" spans="1:36" ht="12"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row>
    <row r="881" spans="1:36" ht="12"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row>
    <row r="882" spans="1:36" ht="12"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row>
    <row r="883" spans="1:36" ht="12"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row>
    <row r="884" spans="1:36" ht="12"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row>
    <row r="885" spans="1:36" ht="12"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row>
    <row r="886" spans="1:36" ht="12"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row>
    <row r="887" spans="1:36" ht="12"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row>
    <row r="888" spans="1:36" ht="12"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row>
    <row r="889" spans="1:36" ht="12"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row>
    <row r="890" spans="1:36" ht="12"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row>
    <row r="891" spans="1:36" ht="12"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row>
    <row r="892" spans="1:36" ht="12"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row>
    <row r="893" spans="1:36" ht="12"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row>
    <row r="894" spans="1:36" ht="12"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row>
    <row r="895" spans="1:36" ht="12"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row>
    <row r="896" spans="1:36" ht="12"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row>
    <row r="897" spans="1:36" ht="12"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row>
    <row r="898" spans="1:36" ht="12"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row>
    <row r="899" spans="1:36" ht="12"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row>
    <row r="900" spans="1:36" ht="12"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row>
    <row r="901" spans="1:36" ht="12"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row>
    <row r="902" spans="1:36" ht="12"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row>
    <row r="903" spans="1:36" ht="12"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row>
    <row r="904" spans="1:36" ht="12"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row>
    <row r="905" spans="1:36" ht="12"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row>
    <row r="906" spans="1:36" ht="12"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row>
    <row r="907" spans="1:36" ht="12"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row>
    <row r="908" spans="1:36" ht="12"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row>
    <row r="909" spans="1:36" ht="12"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row>
    <row r="910" spans="1:36" ht="12"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row>
    <row r="911" spans="1:36" ht="12"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row>
    <row r="912" spans="1:36" ht="12"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row>
    <row r="913" spans="1:36" ht="12"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row>
    <row r="914" spans="1:36" ht="12"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row>
    <row r="915" spans="1:36" ht="12"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row>
    <row r="916" spans="1:36" ht="12"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row>
    <row r="917" spans="1:36" ht="12"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row>
    <row r="918" spans="1:36" ht="12"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row>
    <row r="919" spans="1:36" ht="12"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row>
    <row r="920" spans="1:36" ht="12"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row>
    <row r="921" spans="1:36" ht="12"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row>
    <row r="922" spans="1:36" ht="12"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row>
    <row r="923" spans="1:36" ht="12"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row>
    <row r="924" spans="1:36" ht="12"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row>
    <row r="925" spans="1:36" ht="12"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row>
    <row r="926" spans="1:36" ht="12"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row>
    <row r="927" spans="1:36" ht="12"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row>
    <row r="928" spans="1:36" ht="12"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row>
    <row r="929" spans="1:36" ht="12"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row>
    <row r="930" spans="1:36" ht="12"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row>
    <row r="931" spans="1:36" ht="12"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row>
    <row r="932" spans="1:36" ht="12"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row>
    <row r="933" spans="1:36" ht="12"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row>
    <row r="934" spans="1:36" ht="12"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row>
    <row r="935" spans="1:36" ht="12"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row>
    <row r="936" spans="1:36" ht="12"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row>
    <row r="937" spans="1:36" ht="12"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row>
    <row r="938" spans="1:36" ht="12"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row>
    <row r="939" spans="1:36" ht="12"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row>
    <row r="940" spans="1:36" ht="12"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row>
    <row r="941" spans="1:36" ht="12"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row>
    <row r="942" spans="1:36" ht="12"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row>
    <row r="943" spans="1:36" ht="12"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row>
    <row r="944" spans="1:36" ht="12"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row>
    <row r="945" spans="1:36" ht="12"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row>
    <row r="946" spans="1:36" ht="12"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row>
    <row r="947" spans="1:36" ht="12"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row>
    <row r="948" spans="1:36" ht="12"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row>
    <row r="949" spans="1:36" ht="12"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row>
    <row r="950" spans="1:36" ht="12"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row>
    <row r="951" spans="1:36" ht="12"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row>
    <row r="952" spans="1:36" ht="12"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row>
    <row r="953" spans="1:36" ht="12"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row>
    <row r="954" spans="1:36" ht="12"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row>
    <row r="955" spans="1:36" ht="12"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row>
    <row r="956" spans="1:36" ht="12"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row>
    <row r="957" spans="1:36" ht="12"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row>
    <row r="958" spans="1:36" ht="12"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row>
    <row r="959" spans="1:36" ht="12"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row>
    <row r="960" spans="1:36" ht="12"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row>
    <row r="961" spans="1:36" ht="12"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row>
    <row r="962" spans="1:36" ht="12"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row>
    <row r="963" spans="1:36" ht="12"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row>
    <row r="964" spans="1:36" ht="12"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row>
    <row r="965" spans="1:36" ht="12"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row>
    <row r="966" spans="1:36" ht="12"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row>
    <row r="967" spans="1:36" ht="12"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row>
    <row r="968" spans="1:36" ht="12"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row>
    <row r="969" spans="1:36" ht="12"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row>
    <row r="970" spans="1:36" ht="12"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row>
    <row r="971" spans="1:36" ht="12"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row>
    <row r="972" spans="1:36" ht="12"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row>
    <row r="973" spans="1:36" ht="12"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row>
    <row r="974" spans="1:36" ht="12"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row>
    <row r="975" spans="1:36" ht="12"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row>
    <row r="976" spans="1:36" ht="12"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row>
    <row r="977" spans="1:36" ht="12"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row>
    <row r="978" spans="1:36" ht="12"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row>
    <row r="979" spans="1:36" ht="12"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row>
    <row r="980" spans="1:36" ht="12"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row>
    <row r="981" spans="1:36" ht="12"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row>
    <row r="982" spans="1:36" ht="12"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row>
    <row r="983" spans="1:36" ht="12"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row>
    <row r="984" spans="1:36" ht="12"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row>
    <row r="985" spans="1:36" ht="12"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row>
    <row r="986" spans="1:36" ht="12"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row>
    <row r="987" spans="1:36" ht="12"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row>
    <row r="988" spans="1:36" ht="12"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row>
    <row r="989" spans="1:36" ht="12"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row>
    <row r="990" spans="1:36" ht="12"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row>
    <row r="991" spans="1:36" ht="12"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row>
    <row r="992" spans="1:36" ht="12"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row>
    <row r="993" spans="1:36" ht="12"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row>
    <row r="994" spans="1:36" ht="12"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row>
    <row r="995" spans="1:36" ht="12"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row>
    <row r="996" spans="1:36" ht="12"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row>
    <row r="997" spans="1:36" ht="12"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row>
    <row r="998" spans="1:36" ht="12"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row>
    <row r="999" spans="1:36" ht="12"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row>
    <row r="1000" spans="1:36" ht="12"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row>
  </sheetData>
  <sheetProtection algorithmName="SHA-512" hashValue="E4yy/1vd5QKQ3ws0R9qL4R2r47hy2rQhoFsvXzlSXGFtAfdG4OTZdFoX/0U5NhyUNCo36ceFOObeSkCw7b6wnA==" saltValue="s9dIiBvYESJfIHAH8KKm1A==" spinCount="100000" sheet="1" objects="1" scenarios="1"/>
  <mergeCells count="297">
    <mergeCell ref="B54:C54"/>
    <mergeCell ref="B49:C49"/>
    <mergeCell ref="E49:F49"/>
    <mergeCell ref="G49:H49"/>
    <mergeCell ref="I49:J49"/>
    <mergeCell ref="P49:Q49"/>
    <mergeCell ref="B50:C50"/>
    <mergeCell ref="I50:J50"/>
    <mergeCell ref="P50:Q50"/>
    <mergeCell ref="E50:F50"/>
    <mergeCell ref="G50:H50"/>
    <mergeCell ref="M54:O54"/>
    <mergeCell ref="P54:Q54"/>
    <mergeCell ref="M49:O49"/>
    <mergeCell ref="M50:O50"/>
    <mergeCell ref="M51:O51"/>
    <mergeCell ref="P51:Q51"/>
    <mergeCell ref="B51:C51"/>
    <mergeCell ref="E51:F51"/>
    <mergeCell ref="G51:H51"/>
    <mergeCell ref="I51:J51"/>
    <mergeCell ref="B52:C52"/>
    <mergeCell ref="B53:C53"/>
    <mergeCell ref="M55:O55"/>
    <mergeCell ref="P55:Q55"/>
    <mergeCell ref="E52:F52"/>
    <mergeCell ref="G52:H52"/>
    <mergeCell ref="E53:F53"/>
    <mergeCell ref="G53:H53"/>
    <mergeCell ref="I53:J53"/>
    <mergeCell ref="G54:H54"/>
    <mergeCell ref="I54:J54"/>
    <mergeCell ref="E54:F54"/>
    <mergeCell ref="E55:F55"/>
    <mergeCell ref="G55:H55"/>
    <mergeCell ref="I55:J55"/>
    <mergeCell ref="M52:O52"/>
    <mergeCell ref="P52:Q52"/>
    <mergeCell ref="P53:Q53"/>
    <mergeCell ref="I52:J52"/>
    <mergeCell ref="M53:O53"/>
    <mergeCell ref="M57:O57"/>
    <mergeCell ref="P57:Q57"/>
    <mergeCell ref="E58:F58"/>
    <mergeCell ref="G58:H58"/>
    <mergeCell ref="I58:J58"/>
    <mergeCell ref="P58:Q58"/>
    <mergeCell ref="M58:O58"/>
    <mergeCell ref="M56:O56"/>
    <mergeCell ref="P56:Q56"/>
    <mergeCell ref="P59:Q59"/>
    <mergeCell ref="E75:F75"/>
    <mergeCell ref="E76:F76"/>
    <mergeCell ref="E82:F82"/>
    <mergeCell ref="E83:F83"/>
    <mergeCell ref="G83:H83"/>
    <mergeCell ref="I83:J83"/>
    <mergeCell ref="L82:N82"/>
    <mergeCell ref="O82:P82"/>
    <mergeCell ref="L83:N83"/>
    <mergeCell ref="O83:P83"/>
    <mergeCell ref="G77:H77"/>
    <mergeCell ref="I77:J77"/>
    <mergeCell ref="O77:P77"/>
    <mergeCell ref="M59:O59"/>
    <mergeCell ref="M60:O60"/>
    <mergeCell ref="P60:Q60"/>
    <mergeCell ref="M61:O61"/>
    <mergeCell ref="P61:Q61"/>
    <mergeCell ref="P62:Q62"/>
    <mergeCell ref="M62:O62"/>
    <mergeCell ref="M63:O63"/>
    <mergeCell ref="G60:H60"/>
    <mergeCell ref="I60:J60"/>
    <mergeCell ref="A85:C85"/>
    <mergeCell ref="E85:F85"/>
    <mergeCell ref="G85:H85"/>
    <mergeCell ref="I85:J85"/>
    <mergeCell ref="A80:C80"/>
    <mergeCell ref="A81:C81"/>
    <mergeCell ref="E81:F81"/>
    <mergeCell ref="G81:H81"/>
    <mergeCell ref="I81:J81"/>
    <mergeCell ref="A82:C82"/>
    <mergeCell ref="A83:C83"/>
    <mergeCell ref="G82:H82"/>
    <mergeCell ref="I82:J82"/>
    <mergeCell ref="A114:B114"/>
    <mergeCell ref="A115:B115"/>
    <mergeCell ref="A116:B116"/>
    <mergeCell ref="A117:B117"/>
    <mergeCell ref="A106:B106"/>
    <mergeCell ref="A107:B107"/>
    <mergeCell ref="A108:B108"/>
    <mergeCell ref="A109:B109"/>
    <mergeCell ref="O84:P84"/>
    <mergeCell ref="L84:N84"/>
    <mergeCell ref="L85:N85"/>
    <mergeCell ref="O85:P85"/>
    <mergeCell ref="O86:P86"/>
    <mergeCell ref="J103:O104"/>
    <mergeCell ref="C106:E106"/>
    <mergeCell ref="H106:I106"/>
    <mergeCell ref="A110:B110"/>
    <mergeCell ref="H107:I107"/>
    <mergeCell ref="H108:I108"/>
    <mergeCell ref="H110:I110"/>
    <mergeCell ref="A84:C84"/>
    <mergeCell ref="E84:F84"/>
    <mergeCell ref="G84:H84"/>
    <mergeCell ref="I84:J84"/>
    <mergeCell ref="F110:G110"/>
    <mergeCell ref="F111:G111"/>
    <mergeCell ref="H111:I111"/>
    <mergeCell ref="F112:G112"/>
    <mergeCell ref="H112:I112"/>
    <mergeCell ref="H113:I113"/>
    <mergeCell ref="A111:B111"/>
    <mergeCell ref="A112:B112"/>
    <mergeCell ref="A113:B113"/>
    <mergeCell ref="D123:E123"/>
    <mergeCell ref="E125:Q125"/>
    <mergeCell ref="E126:Q126"/>
    <mergeCell ref="F113:G113"/>
    <mergeCell ref="F114:G114"/>
    <mergeCell ref="F115:G115"/>
    <mergeCell ref="F116:G116"/>
    <mergeCell ref="F117:G117"/>
    <mergeCell ref="F118:G118"/>
    <mergeCell ref="D122:E122"/>
    <mergeCell ref="H114:I114"/>
    <mergeCell ref="H115:I115"/>
    <mergeCell ref="H116:I116"/>
    <mergeCell ref="H117:I117"/>
    <mergeCell ref="E128:F128"/>
    <mergeCell ref="L75:N75"/>
    <mergeCell ref="O75:P75"/>
    <mergeCell ref="G76:H76"/>
    <mergeCell ref="I76:J76"/>
    <mergeCell ref="L76:N76"/>
    <mergeCell ref="O76:P76"/>
    <mergeCell ref="A67:P68"/>
    <mergeCell ref="A72:P73"/>
    <mergeCell ref="C74:D74"/>
    <mergeCell ref="A75:C75"/>
    <mergeCell ref="G75:H75"/>
    <mergeCell ref="I75:K75"/>
    <mergeCell ref="A76:C76"/>
    <mergeCell ref="L77:N77"/>
    <mergeCell ref="L78:N78"/>
    <mergeCell ref="L79:N79"/>
    <mergeCell ref="O79:P79"/>
    <mergeCell ref="L80:N80"/>
    <mergeCell ref="O80:P80"/>
    <mergeCell ref="L81:N81"/>
    <mergeCell ref="O81:P81"/>
    <mergeCell ref="A77:C77"/>
    <mergeCell ref="E77:F77"/>
    <mergeCell ref="F109:G109"/>
    <mergeCell ref="H109:I109"/>
    <mergeCell ref="S1:U1"/>
    <mergeCell ref="S2:U2"/>
    <mergeCell ref="L5:Q5"/>
    <mergeCell ref="D6:H6"/>
    <mergeCell ref="L6:Q6"/>
    <mergeCell ref="S6:U6"/>
    <mergeCell ref="L12:Q13"/>
    <mergeCell ref="L15:Q16"/>
    <mergeCell ref="J17:K17"/>
    <mergeCell ref="P17:Q17"/>
    <mergeCell ref="S17:U17"/>
    <mergeCell ref="L7:Q7"/>
    <mergeCell ref="L9:Q9"/>
    <mergeCell ref="S9:U9"/>
    <mergeCell ref="L10:Q10"/>
    <mergeCell ref="I13:J13"/>
    <mergeCell ref="S13:U13"/>
    <mergeCell ref="I14:J14"/>
    <mergeCell ref="D21:F21"/>
    <mergeCell ref="F108:G108"/>
    <mergeCell ref="G59:H59"/>
    <mergeCell ref="I59:J59"/>
    <mergeCell ref="G21:H21"/>
    <mergeCell ref="I21:J21"/>
    <mergeCell ref="K21:L21"/>
    <mergeCell ref="E17:H17"/>
    <mergeCell ref="A21:C21"/>
    <mergeCell ref="D9:E9"/>
    <mergeCell ref="D10:E10"/>
    <mergeCell ref="D11:E11"/>
    <mergeCell ref="D12:E12"/>
    <mergeCell ref="B22:C22"/>
    <mergeCell ref="E22:F22"/>
    <mergeCell ref="G22:H22"/>
    <mergeCell ref="I22:J22"/>
    <mergeCell ref="E23:F23"/>
    <mergeCell ref="G23:H23"/>
    <mergeCell ref="I23:J23"/>
    <mergeCell ref="B23:C23"/>
    <mergeCell ref="B24:C24"/>
    <mergeCell ref="E24:F24"/>
    <mergeCell ref="G24:H24"/>
    <mergeCell ref="I24:J24"/>
    <mergeCell ref="B25:C25"/>
    <mergeCell ref="E25:F25"/>
    <mergeCell ref="G25:H25"/>
    <mergeCell ref="I25:J25"/>
    <mergeCell ref="G26:H26"/>
    <mergeCell ref="I26:J26"/>
    <mergeCell ref="S26:X27"/>
    <mergeCell ref="B27:C27"/>
    <mergeCell ref="E27:F27"/>
    <mergeCell ref="E29:F29"/>
    <mergeCell ref="G29:H29"/>
    <mergeCell ref="S29:X31"/>
    <mergeCell ref="G30:H30"/>
    <mergeCell ref="I30:J30"/>
    <mergeCell ref="J31:L31"/>
    <mergeCell ref="G27:H27"/>
    <mergeCell ref="I27:J27"/>
    <mergeCell ref="B28:C28"/>
    <mergeCell ref="E28:F28"/>
    <mergeCell ref="G28:H28"/>
    <mergeCell ref="I28:J28"/>
    <mergeCell ref="I29:J29"/>
    <mergeCell ref="B29:C29"/>
    <mergeCell ref="A33:D33"/>
    <mergeCell ref="E33:G33"/>
    <mergeCell ref="H33:J33"/>
    <mergeCell ref="A34:D34"/>
    <mergeCell ref="E34:G34"/>
    <mergeCell ref="H34:I34"/>
    <mergeCell ref="A35:D35"/>
    <mergeCell ref="E35:G35"/>
    <mergeCell ref="H35:I35"/>
    <mergeCell ref="A40:D40"/>
    <mergeCell ref="E40:G40"/>
    <mergeCell ref="H40:I40"/>
    <mergeCell ref="E41:G41"/>
    <mergeCell ref="K48:L48"/>
    <mergeCell ref="M48:O48"/>
    <mergeCell ref="P48:Q48"/>
    <mergeCell ref="A41:D41"/>
    <mergeCell ref="A42:D42"/>
    <mergeCell ref="E42:G42"/>
    <mergeCell ref="A48:C48"/>
    <mergeCell ref="D48:F48"/>
    <mergeCell ref="G48:H48"/>
    <mergeCell ref="I48:J48"/>
    <mergeCell ref="B62:C62"/>
    <mergeCell ref="B63:C63"/>
    <mergeCell ref="B64:C64"/>
    <mergeCell ref="G64:H64"/>
    <mergeCell ref="I64:J64"/>
    <mergeCell ref="E62:F62"/>
    <mergeCell ref="G62:H62"/>
    <mergeCell ref="I62:J62"/>
    <mergeCell ref="E63:F63"/>
    <mergeCell ref="G63:H63"/>
    <mergeCell ref="I63:J63"/>
    <mergeCell ref="E64:F64"/>
    <mergeCell ref="E61:F61"/>
    <mergeCell ref="G61:H61"/>
    <mergeCell ref="I61:J61"/>
    <mergeCell ref="E56:F56"/>
    <mergeCell ref="G56:H56"/>
    <mergeCell ref="I56:J56"/>
    <mergeCell ref="B59:C59"/>
    <mergeCell ref="B60:C60"/>
    <mergeCell ref="B61:C61"/>
    <mergeCell ref="E57:F57"/>
    <mergeCell ref="G57:H57"/>
    <mergeCell ref="I57:J57"/>
    <mergeCell ref="L8:Q8"/>
    <mergeCell ref="A79:C79"/>
    <mergeCell ref="E79:F79"/>
    <mergeCell ref="G79:H79"/>
    <mergeCell ref="I79:J79"/>
    <mergeCell ref="I80:J80"/>
    <mergeCell ref="P63:Q63"/>
    <mergeCell ref="M64:O64"/>
    <mergeCell ref="P64:Q64"/>
    <mergeCell ref="L65:O65"/>
    <mergeCell ref="P65:Q65"/>
    <mergeCell ref="E80:F80"/>
    <mergeCell ref="G80:H80"/>
    <mergeCell ref="E78:F78"/>
    <mergeCell ref="G78:H78"/>
    <mergeCell ref="A78:C78"/>
    <mergeCell ref="I78:J78"/>
    <mergeCell ref="O78:P78"/>
    <mergeCell ref="B55:C55"/>
    <mergeCell ref="B56:C56"/>
    <mergeCell ref="B57:C57"/>
    <mergeCell ref="B58:C58"/>
    <mergeCell ref="E59:F59"/>
    <mergeCell ref="E60:F60"/>
  </mergeCells>
  <dataValidations disablePrompts="1" count="4">
    <dataValidation type="list" allowBlank="1" showErrorMessage="1" sqref="D14" xr:uid="{00000000-0002-0000-0000-000000000000}">
      <formula1>"English,Deutsch"</formula1>
    </dataValidation>
    <dataValidation type="list" allowBlank="1" showErrorMessage="1" sqref="H122" xr:uid="{00000000-0002-0000-0000-000001000000}">
      <formula1>"X"</formula1>
    </dataValidation>
    <dataValidation type="list" allowBlank="1" showInputMessage="1" showErrorMessage="1" prompt="Y or N" sqref="N11 Q104" xr:uid="{00000000-0002-0000-0000-000002000000}">
      <formula1>"Y,N"</formula1>
    </dataValidation>
    <dataValidation type="list" allowBlank="1" showInputMessage="1" showErrorMessage="1" prompt="&lt;=4 , 6 , 8  or 10" sqref="G104" xr:uid="{00000000-0002-0000-0000-000003000000}">
      <formula1>"4,6,8,10"</formula1>
    </dataValidation>
  </dataValidations>
  <pageMargins left="0.70866141732283472" right="0.70866141732283472" top="0.78740157480314965" bottom="0.78740157480314965" header="0" footer="0"/>
  <pageSetup paperSize="9" scale="88" orientation="portrait" r:id="rId1"/>
  <headerFooter>
    <oddFooter>&amp;L&amp;F&amp;CPage &amp;P / &amp;R&amp;D</oddFooter>
  </headerFooter>
  <rowBreaks count="1" manualBreakCount="1">
    <brk id="69" max="16"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B1001"/>
  <sheetViews>
    <sheetView view="pageBreakPreview" zoomScale="110" zoomScaleNormal="100" zoomScaleSheetLayoutView="110" workbookViewId="0">
      <selection activeCell="P20" sqref="P20"/>
    </sheetView>
  </sheetViews>
  <sheetFormatPr defaultColWidth="12.5703125" defaultRowHeight="15" customHeight="1"/>
  <cols>
    <col min="1" max="1" width="5.28515625" customWidth="1"/>
    <col min="2" max="2" width="6.28515625" customWidth="1"/>
    <col min="3" max="4" width="5.85546875" customWidth="1"/>
    <col min="5" max="5" width="8.85546875" customWidth="1"/>
    <col min="6" max="6" width="8.7109375" customWidth="1"/>
    <col min="7" max="7" width="6.28515625" customWidth="1"/>
    <col min="8" max="8" width="6.5703125" customWidth="1"/>
    <col min="9" max="9" width="6.28515625" customWidth="1"/>
    <col min="10" max="10" width="6.5703125" customWidth="1"/>
    <col min="11" max="11" width="5.85546875" customWidth="1"/>
    <col min="12" max="12" width="4.42578125" customWidth="1"/>
    <col min="13" max="13" width="4.7109375" customWidth="1"/>
    <col min="14" max="14" width="3.85546875" customWidth="1"/>
    <col min="15" max="15" width="2.5703125" customWidth="1"/>
    <col min="16" max="16" width="4.140625" customWidth="1"/>
    <col min="17" max="17" width="4.5703125" customWidth="1"/>
    <col min="18" max="18" width="9.140625" hidden="1" customWidth="1"/>
    <col min="19" max="28" width="9.140625" customWidth="1"/>
  </cols>
  <sheetData>
    <row r="1" spans="1:28" s="202" customFormat="1" ht="18.75" customHeight="1">
      <c r="A1" s="206"/>
      <c r="B1" s="206"/>
      <c r="C1" s="206"/>
      <c r="D1" s="206"/>
      <c r="E1" s="206"/>
      <c r="F1" s="206"/>
      <c r="G1" s="200"/>
      <c r="H1" s="200"/>
      <c r="I1" s="200"/>
      <c r="J1" s="200"/>
      <c r="K1" s="200"/>
      <c r="L1" s="200"/>
      <c r="M1" s="200"/>
      <c r="N1" s="200"/>
      <c r="O1" s="200"/>
      <c r="P1" s="200"/>
      <c r="Q1" s="201" t="str">
        <f>IF($D$14="English","Test Report - Single Range Onboard Weighing","Test Report - Test-Report OnBoard Waage ")</f>
        <v>Test Report - Single Range Onboard Weighing</v>
      </c>
      <c r="R1" s="200"/>
      <c r="S1" s="200"/>
      <c r="T1" s="200"/>
      <c r="U1" s="200"/>
      <c r="V1" s="200"/>
      <c r="W1" s="200"/>
      <c r="X1" s="200"/>
      <c r="Y1" s="200"/>
      <c r="Z1" s="200"/>
      <c r="AA1" s="200"/>
      <c r="AB1" s="200"/>
    </row>
    <row r="2" spans="1:28" s="199" customFormat="1" ht="12" customHeight="1">
      <c r="A2" s="206"/>
      <c r="B2" s="206"/>
      <c r="C2" s="206"/>
      <c r="D2" s="206"/>
      <c r="E2" s="206"/>
      <c r="F2" s="206"/>
      <c r="G2" s="198"/>
      <c r="H2" s="198"/>
      <c r="I2" s="198"/>
      <c r="J2" s="198"/>
      <c r="K2" s="198"/>
      <c r="L2" s="198"/>
      <c r="M2" s="198"/>
      <c r="N2" s="198"/>
      <c r="O2" s="198"/>
      <c r="P2" s="198"/>
      <c r="Q2" s="191"/>
      <c r="R2" s="198"/>
      <c r="S2" s="198"/>
      <c r="T2" s="198"/>
      <c r="U2" s="198"/>
      <c r="V2" s="198"/>
      <c r="W2" s="198"/>
      <c r="X2" s="198"/>
      <c r="Y2" s="198"/>
      <c r="Z2" s="198"/>
      <c r="AA2" s="198"/>
      <c r="AB2" s="198"/>
    </row>
    <row r="3" spans="1:28" ht="12" customHeight="1">
      <c r="A3" s="207"/>
      <c r="B3" s="207"/>
      <c r="C3" s="207"/>
      <c r="D3" s="207"/>
      <c r="E3" s="207"/>
      <c r="F3" s="207"/>
      <c r="G3" s="1"/>
      <c r="H3" s="1"/>
      <c r="I3" s="1"/>
      <c r="J3" s="1" t="str">
        <f>IF($D$14="English","Accuracy Class","Genauigkeitsklasse")</f>
        <v>Accuracy Class</v>
      </c>
      <c r="K3" s="1"/>
      <c r="L3" s="1"/>
      <c r="M3" s="187" t="s">
        <v>136</v>
      </c>
      <c r="N3" s="1"/>
      <c r="O3" s="4"/>
      <c r="P3" s="5"/>
      <c r="Q3" s="4"/>
      <c r="R3" s="1"/>
      <c r="S3" s="1"/>
      <c r="T3" s="1"/>
      <c r="U3" s="1"/>
      <c r="V3" s="1"/>
      <c r="W3" s="1"/>
      <c r="X3" s="1"/>
      <c r="Y3" s="1"/>
      <c r="Z3" s="1"/>
      <c r="AA3" s="1"/>
      <c r="AB3" s="1"/>
    </row>
    <row r="4" spans="1:28" ht="12" customHeight="1">
      <c r="A4" s="209"/>
      <c r="B4" s="209"/>
      <c r="C4" s="209"/>
      <c r="D4" s="208"/>
      <c r="E4" s="208"/>
      <c r="F4" s="208"/>
      <c r="G4" s="1"/>
      <c r="H4" s="1"/>
      <c r="I4" s="1"/>
      <c r="J4" s="1"/>
      <c r="K4" s="1"/>
      <c r="L4" s="1"/>
      <c r="M4" s="1"/>
      <c r="N4" s="1"/>
      <c r="O4" s="1"/>
      <c r="P4" s="6"/>
      <c r="Q4" s="1"/>
      <c r="R4" s="1"/>
      <c r="S4" s="1"/>
      <c r="T4" s="1"/>
      <c r="U4" s="1"/>
      <c r="V4" s="1"/>
      <c r="W4" s="1"/>
      <c r="X4" s="1"/>
      <c r="Y4" s="1"/>
      <c r="Z4" s="1"/>
      <c r="AA4" s="1"/>
      <c r="AB4" s="1"/>
    </row>
    <row r="5" spans="1:28" ht="12" customHeight="1">
      <c r="A5" s="5"/>
      <c r="B5" s="1"/>
      <c r="C5" s="1"/>
      <c r="D5" s="1"/>
      <c r="E5" s="1"/>
      <c r="F5" s="1"/>
      <c r="G5" s="1"/>
      <c r="H5" s="1"/>
      <c r="I5" s="1"/>
      <c r="J5" s="1"/>
      <c r="K5" s="1"/>
      <c r="L5" s="152"/>
      <c r="M5" s="153"/>
      <c r="N5" s="153"/>
      <c r="O5" s="153"/>
      <c r="P5" s="153"/>
      <c r="Q5" s="153"/>
      <c r="R5" s="1"/>
      <c r="S5" s="1"/>
      <c r="T5" s="1"/>
      <c r="U5" s="1"/>
      <c r="V5" s="1"/>
      <c r="W5" s="1"/>
      <c r="X5" s="1"/>
      <c r="Y5" s="1"/>
      <c r="Z5" s="1"/>
      <c r="AA5" s="1"/>
      <c r="AB5" s="1"/>
    </row>
    <row r="6" spans="1:28" ht="12" customHeight="1">
      <c r="A6" s="1"/>
      <c r="B6" s="1"/>
      <c r="C6" s="9" t="str">
        <f>IF($D$14="English","Part No.:","Modell Nr.")</f>
        <v>Part No.:</v>
      </c>
      <c r="D6" s="275"/>
      <c r="E6" s="215"/>
      <c r="F6" s="215"/>
      <c r="G6" s="215"/>
      <c r="H6" s="216"/>
      <c r="I6" s="1"/>
      <c r="J6" s="1"/>
      <c r="K6" s="9" t="str">
        <f>IF($D$14="English","Test Date:","Testdatum")</f>
        <v>Test Date:</v>
      </c>
      <c r="L6" s="386"/>
      <c r="M6" s="387"/>
      <c r="N6" s="387"/>
      <c r="O6" s="387"/>
      <c r="P6" s="387"/>
      <c r="Q6" s="302"/>
      <c r="R6" s="1"/>
      <c r="S6" s="1"/>
      <c r="T6" s="1"/>
      <c r="U6" s="1"/>
      <c r="V6" s="1"/>
      <c r="W6" s="1"/>
      <c r="X6" s="1"/>
      <c r="Y6" s="1"/>
      <c r="Z6" s="1"/>
      <c r="AA6" s="1"/>
      <c r="AB6" s="1"/>
    </row>
    <row r="7" spans="1:28" ht="12" customHeight="1">
      <c r="A7" s="1"/>
      <c r="B7" s="1"/>
      <c r="C7" s="6"/>
      <c r="D7" s="388"/>
      <c r="E7" s="225"/>
      <c r="F7" s="1"/>
      <c r="G7" s="1"/>
      <c r="H7" s="1"/>
      <c r="I7" s="1"/>
      <c r="J7" s="1"/>
      <c r="K7" s="9" t="str">
        <f>IF($D$14="English","Test Officer:","RVO")</f>
        <v>Test Officer:</v>
      </c>
      <c r="L7" s="389"/>
      <c r="M7" s="215"/>
      <c r="N7" s="215"/>
      <c r="O7" s="215"/>
      <c r="P7" s="215"/>
      <c r="Q7" s="216"/>
      <c r="R7" s="1"/>
      <c r="S7" s="1"/>
      <c r="T7" s="1"/>
      <c r="U7" s="1"/>
      <c r="V7" s="1"/>
      <c r="W7" s="1"/>
      <c r="X7" s="1"/>
      <c r="Y7" s="1"/>
      <c r="Z7" s="1"/>
      <c r="AA7" s="1"/>
      <c r="AB7" s="1"/>
    </row>
    <row r="8" spans="1:28" ht="12" customHeight="1">
      <c r="A8" s="1"/>
      <c r="B8" s="1"/>
      <c r="C8" s="6"/>
      <c r="D8" s="391"/>
      <c r="E8" s="392"/>
      <c r="F8" s="1"/>
      <c r="G8" s="1"/>
      <c r="H8" s="1"/>
      <c r="I8" s="1"/>
      <c r="J8" s="1"/>
      <c r="K8" s="9" t="str">
        <f>IF($D$14="English","Scale No.","RVO")</f>
        <v>Scale No.</v>
      </c>
      <c r="L8" s="389"/>
      <c r="M8" s="215"/>
      <c r="N8" s="215"/>
      <c r="O8" s="215"/>
      <c r="P8" s="215"/>
      <c r="Q8" s="216"/>
      <c r="R8" s="1"/>
      <c r="S8" s="1"/>
      <c r="T8" s="1"/>
      <c r="U8" s="1"/>
      <c r="V8" s="1"/>
      <c r="W8" s="1"/>
      <c r="X8" s="1"/>
      <c r="Y8" s="1"/>
      <c r="Z8" s="1"/>
      <c r="AA8" s="1"/>
      <c r="AB8" s="1"/>
    </row>
    <row r="9" spans="1:28" ht="12" customHeight="1">
      <c r="A9" s="1"/>
      <c r="B9" s="1"/>
      <c r="C9" s="6" t="s">
        <v>98</v>
      </c>
      <c r="D9" s="390"/>
      <c r="E9" s="302"/>
      <c r="F9" s="1" t="s">
        <v>11</v>
      </c>
      <c r="G9" s="1"/>
      <c r="H9" s="1"/>
      <c r="I9" s="1"/>
      <c r="J9" s="1"/>
      <c r="K9" s="9" t="str">
        <f>IF($D$14="English","Indicator S/N.","Waagen S/N.")</f>
        <v>Indicator S/N.</v>
      </c>
      <c r="L9" s="214"/>
      <c r="M9" s="215"/>
      <c r="N9" s="215"/>
      <c r="O9" s="215"/>
      <c r="P9" s="215"/>
      <c r="Q9" s="216"/>
      <c r="R9" s="1"/>
      <c r="S9" s="1"/>
      <c r="T9" s="1"/>
      <c r="U9" s="1"/>
      <c r="V9" s="1"/>
      <c r="W9" s="1"/>
      <c r="X9" s="1"/>
      <c r="Y9" s="1"/>
      <c r="Z9" s="1"/>
      <c r="AA9" s="1"/>
      <c r="AB9" s="1"/>
    </row>
    <row r="10" spans="1:28" ht="12" customHeight="1">
      <c r="A10" s="1"/>
      <c r="B10" s="1"/>
      <c r="C10" s="6" t="s">
        <v>99</v>
      </c>
      <c r="D10" s="288"/>
      <c r="E10" s="216"/>
      <c r="F10" s="1" t="s">
        <v>11</v>
      </c>
      <c r="G10" s="1"/>
      <c r="H10" s="1"/>
      <c r="I10" s="1"/>
      <c r="J10" s="1"/>
      <c r="K10" s="9" t="str">
        <f>IF($D$14="English","TAC(Type Approval Certificate) Indicator","Bauartzulassung Wägeelektronik")</f>
        <v>TAC(Type Approval Certificate) Indicator</v>
      </c>
      <c r="L10" s="214"/>
      <c r="M10" s="215"/>
      <c r="N10" s="215"/>
      <c r="O10" s="215"/>
      <c r="P10" s="215"/>
      <c r="Q10" s="216"/>
      <c r="R10" s="1"/>
      <c r="S10" s="1"/>
      <c r="T10" s="1"/>
      <c r="U10" s="1"/>
      <c r="V10" s="1"/>
      <c r="W10" s="1"/>
      <c r="X10" s="1"/>
      <c r="Y10" s="1"/>
      <c r="Z10" s="1"/>
      <c r="AA10" s="1"/>
      <c r="AB10" s="1"/>
    </row>
    <row r="11" spans="1:28" ht="12" customHeight="1">
      <c r="A11" s="1"/>
      <c r="B11" s="1"/>
      <c r="C11" s="6"/>
      <c r="D11" s="13"/>
      <c r="E11" s="137"/>
      <c r="F11" s="1"/>
      <c r="G11" s="1"/>
      <c r="H11" s="1"/>
      <c r="I11" s="1"/>
      <c r="J11" s="1"/>
      <c r="K11" s="9" t="str">
        <f>IF($D$14="English","Firmware type and version:","Wägeelektronik Programm und Version")</f>
        <v>Firmware type and version:</v>
      </c>
      <c r="L11" s="214"/>
      <c r="M11" s="215"/>
      <c r="N11" s="215"/>
      <c r="O11" s="215"/>
      <c r="P11" s="215"/>
      <c r="Q11" s="216"/>
      <c r="R11" s="1"/>
      <c r="S11" s="1"/>
      <c r="T11" s="1"/>
      <c r="U11" s="1"/>
      <c r="V11" s="1"/>
      <c r="W11" s="1"/>
      <c r="X11" s="1"/>
      <c r="Y11" s="1"/>
      <c r="Z11" s="1"/>
      <c r="AA11" s="1"/>
      <c r="AB11" s="1"/>
    </row>
    <row r="12" spans="1:28" ht="12" customHeight="1">
      <c r="A12" s="1"/>
      <c r="B12" s="1"/>
      <c r="C12" s="6"/>
      <c r="D12" s="1"/>
      <c r="E12" s="1"/>
      <c r="F12" s="1"/>
      <c r="G12" s="1"/>
      <c r="H12" s="1"/>
      <c r="I12" s="1"/>
      <c r="J12" s="6"/>
      <c r="K12" s="6"/>
      <c r="L12" s="1"/>
      <c r="M12" s="120" t="str">
        <f>IF($D$14="English","Test Weight Calibrations Current?","Standardgewichte kalibriert?")</f>
        <v>Test Weight Calibrations Current?</v>
      </c>
      <c r="N12" s="181"/>
      <c r="O12" s="1"/>
      <c r="P12" s="1"/>
      <c r="Q12" s="1"/>
      <c r="R12" s="1"/>
      <c r="S12" s="1"/>
      <c r="T12" s="1"/>
      <c r="U12" s="1"/>
      <c r="V12" s="1"/>
      <c r="W12" s="1"/>
      <c r="X12" s="1"/>
      <c r="Y12" s="1"/>
      <c r="Z12" s="1"/>
      <c r="AA12" s="1"/>
      <c r="AB12" s="1"/>
    </row>
    <row r="13" spans="1:28" ht="12" customHeight="1">
      <c r="A13" s="1"/>
      <c r="B13" s="1"/>
      <c r="C13" s="1"/>
      <c r="D13" s="1"/>
      <c r="E13" s="1"/>
      <c r="F13" s="1"/>
      <c r="G13" s="1"/>
      <c r="H13" s="1"/>
      <c r="K13" s="9" t="str">
        <f>IF($D$14="English","Set-No. of Standard-Weights in use","Set-Nr. der Standardgewichte")</f>
        <v>Set-No. of Standard-Weights in use</v>
      </c>
      <c r="L13" s="247"/>
      <c r="M13" s="248"/>
      <c r="N13" s="248"/>
      <c r="O13" s="248"/>
      <c r="P13" s="248"/>
      <c r="Q13" s="249"/>
      <c r="R13" s="1"/>
      <c r="S13" s="1"/>
      <c r="T13" s="1"/>
      <c r="U13" s="1"/>
      <c r="V13" s="1"/>
      <c r="W13" s="1"/>
      <c r="X13" s="1"/>
      <c r="Y13" s="1"/>
      <c r="Z13" s="1"/>
      <c r="AA13" s="1"/>
      <c r="AB13" s="1"/>
    </row>
    <row r="14" spans="1:28" ht="12" customHeight="1">
      <c r="A14" s="14" t="s">
        <v>19</v>
      </c>
      <c r="B14" s="1"/>
      <c r="C14" s="1"/>
      <c r="D14" s="15" t="s">
        <v>0</v>
      </c>
      <c r="E14" s="1"/>
      <c r="F14" s="1"/>
      <c r="G14" s="1"/>
      <c r="H14" s="1"/>
      <c r="L14" s="250"/>
      <c r="M14" s="251"/>
      <c r="N14" s="251"/>
      <c r="O14" s="251"/>
      <c r="P14" s="251"/>
      <c r="Q14" s="252"/>
      <c r="R14" s="1"/>
      <c r="S14" s="1"/>
      <c r="T14" s="1"/>
      <c r="U14" s="1"/>
      <c r="V14" s="1"/>
      <c r="W14" s="1"/>
      <c r="X14" s="1"/>
      <c r="Y14" s="1"/>
      <c r="Z14" s="1"/>
      <c r="AA14" s="1"/>
      <c r="AB14" s="1"/>
    </row>
    <row r="15" spans="1:28" ht="12" customHeight="1">
      <c r="A15" s="14"/>
      <c r="B15" s="1"/>
      <c r="C15" s="1"/>
      <c r="D15" s="16"/>
      <c r="E15" s="1"/>
      <c r="F15" s="1"/>
      <c r="G15" s="1"/>
      <c r="H15" s="1"/>
      <c r="K15" s="9" t="str">
        <f>IF($D$14="English","Set-No. Small Weights in use","Set-Nr. der kleinen Gewichte")</f>
        <v>Set-No. Small Weights in use</v>
      </c>
      <c r="L15" s="247"/>
      <c r="M15" s="248"/>
      <c r="N15" s="248"/>
      <c r="O15" s="248"/>
      <c r="P15" s="248"/>
      <c r="Q15" s="249"/>
      <c r="R15" s="1"/>
      <c r="S15" s="1"/>
      <c r="T15" s="1"/>
      <c r="U15" s="1"/>
      <c r="V15" s="1"/>
      <c r="W15" s="1"/>
      <c r="X15" s="1"/>
      <c r="Y15" s="1"/>
      <c r="Z15" s="1"/>
      <c r="AA15" s="1"/>
      <c r="AB15" s="1"/>
    </row>
    <row r="16" spans="1:28" ht="12" customHeight="1">
      <c r="A16" s="14"/>
      <c r="B16" s="1"/>
      <c r="C16" s="1"/>
      <c r="D16" s="16"/>
      <c r="E16" s="1"/>
      <c r="F16" s="1"/>
      <c r="G16" s="1"/>
      <c r="H16" s="1"/>
      <c r="K16" s="1"/>
      <c r="L16" s="250"/>
      <c r="M16" s="251"/>
      <c r="N16" s="251"/>
      <c r="O16" s="251"/>
      <c r="P16" s="251"/>
      <c r="Q16" s="252"/>
      <c r="R16" s="1"/>
      <c r="S16" s="1"/>
      <c r="T16" s="1"/>
      <c r="U16" s="1"/>
      <c r="V16" s="1"/>
      <c r="W16" s="1"/>
      <c r="X16" s="1"/>
      <c r="Y16" s="1"/>
      <c r="Z16" s="1"/>
      <c r="AA16" s="1"/>
      <c r="AB16" s="1"/>
    </row>
    <row r="17" spans="1:28" ht="17.25" customHeight="1">
      <c r="A17" s="7" t="str">
        <f>IF($D$14="English","Load Cell","Wägezelle")</f>
        <v>Load Cell</v>
      </c>
      <c r="B17" s="1"/>
      <c r="C17" s="1" t="str">
        <f>IF($D$14="English","Manufacturer","Hersteller")</f>
        <v>Manufacturer</v>
      </c>
      <c r="D17" s="6"/>
      <c r="E17" s="240"/>
      <c r="F17" s="215"/>
      <c r="G17" s="215"/>
      <c r="H17" s="216"/>
      <c r="I17" s="1" t="s">
        <v>22</v>
      </c>
      <c r="J17" s="253"/>
      <c r="K17" s="216"/>
      <c r="L17" s="1" t="str">
        <f>IF($D$14="English","Total number:","Gesamtanzahl:")</f>
        <v>Total number:</v>
      </c>
      <c r="M17" s="6"/>
      <c r="N17" s="6"/>
      <c r="O17" s="1"/>
      <c r="P17" s="301"/>
      <c r="Q17" s="302"/>
      <c r="R17" s="1"/>
      <c r="S17" s="1"/>
      <c r="T17" s="1"/>
      <c r="U17" s="1"/>
      <c r="V17" s="1"/>
      <c r="W17" s="1"/>
      <c r="X17" s="1"/>
      <c r="Y17" s="1"/>
      <c r="Z17" s="1"/>
      <c r="AA17" s="1"/>
      <c r="AB17" s="1"/>
    </row>
    <row r="18" spans="1:28" ht="12" customHeight="1">
      <c r="A18" s="1"/>
      <c r="B18" s="1"/>
      <c r="C18" s="1"/>
      <c r="D18" s="1"/>
      <c r="E18" s="1"/>
      <c r="F18" s="1"/>
      <c r="G18" s="6"/>
      <c r="J18" s="17"/>
      <c r="K18" s="1"/>
      <c r="L18" s="1"/>
      <c r="M18" s="1"/>
      <c r="N18" s="1"/>
      <c r="O18" s="1"/>
      <c r="P18" s="1"/>
      <c r="Q18" s="1"/>
      <c r="R18" s="1" t="s">
        <v>104</v>
      </c>
      <c r="S18" s="1"/>
      <c r="T18" s="1"/>
      <c r="U18" s="1"/>
      <c r="V18" s="1"/>
      <c r="W18" s="1"/>
      <c r="X18" s="1"/>
      <c r="Y18" s="1"/>
      <c r="Z18" s="1"/>
      <c r="AA18" s="1"/>
      <c r="AB18" s="1"/>
    </row>
    <row r="19" spans="1:28" ht="12" customHeight="1">
      <c r="A19" s="1"/>
      <c r="B19" s="1"/>
      <c r="C19" s="1"/>
      <c r="D19" s="1"/>
      <c r="E19" s="1"/>
      <c r="F19" s="1"/>
      <c r="G19" s="6"/>
      <c r="J19" s="17"/>
      <c r="K19" s="1"/>
      <c r="L19" s="1"/>
      <c r="M19" s="1"/>
      <c r="N19" s="1"/>
      <c r="O19" s="1"/>
      <c r="P19" s="1"/>
      <c r="Q19" s="1"/>
      <c r="R19" s="1"/>
      <c r="S19" s="1"/>
      <c r="T19" s="1"/>
      <c r="U19" s="1"/>
      <c r="V19" s="1"/>
      <c r="W19" s="1"/>
      <c r="X19" s="1"/>
      <c r="Y19" s="1"/>
      <c r="Z19" s="1"/>
      <c r="AA19" s="1"/>
      <c r="AB19" s="1"/>
    </row>
    <row r="20" spans="1:28" ht="12" customHeight="1">
      <c r="A20" s="7" t="str">
        <f>IF($D$14="English","1. Repeatability Test (indicator in hi-res mode):","1. Prüfung der Wiederholbarkeit (Indikator in Hi-Res-Modus):")</f>
        <v>1. Repeatability Test (indicator in hi-res mode):</v>
      </c>
      <c r="B20" s="1"/>
      <c r="C20" s="6"/>
      <c r="D20" s="8"/>
      <c r="E20" s="8"/>
      <c r="F20" s="1"/>
      <c r="G20" s="1"/>
      <c r="H20" s="1" t="str">
        <f>IF($D$14="English","accordance to EN45501-2015, A.4.10","gemäß EN45501-2015, A.4.10")</f>
        <v>accordance to EN45501-2015, A.4.10</v>
      </c>
      <c r="I20" s="1"/>
      <c r="J20" s="1"/>
      <c r="K20" s="6"/>
      <c r="L20" s="6"/>
      <c r="M20" s="6"/>
      <c r="N20" s="1"/>
      <c r="O20" s="1"/>
      <c r="P20" s="1"/>
      <c r="Q20" s="1"/>
      <c r="R20" s="1"/>
      <c r="S20" s="1"/>
      <c r="T20" s="1"/>
      <c r="U20" s="1"/>
      <c r="V20" s="1"/>
      <c r="W20" s="1"/>
      <c r="X20" s="1"/>
      <c r="Y20" s="1"/>
      <c r="Z20" s="1"/>
      <c r="AA20" s="1"/>
      <c r="AB20" s="1"/>
    </row>
    <row r="21" spans="1:28" ht="12" customHeight="1">
      <c r="A21" s="1" t="str">
        <f>IF($D$14="English","* The zero tracking device may be in operation for the repeatability test.","* Die Nullnachführung darf bei der Prüfung der Wiederholbarkeit eingeschaltet sein")</f>
        <v>* The zero tracking device may be in operation for the repeatability test.</v>
      </c>
      <c r="B21" s="1"/>
      <c r="C21" s="6"/>
      <c r="D21" s="8"/>
      <c r="E21" s="8"/>
      <c r="F21" s="1"/>
      <c r="G21" s="1"/>
      <c r="H21" s="1"/>
      <c r="I21" s="1"/>
      <c r="J21" s="1"/>
      <c r="K21" s="6"/>
      <c r="L21" s="6"/>
      <c r="M21" s="6"/>
      <c r="N21" s="1"/>
      <c r="O21" s="1"/>
      <c r="P21" s="1"/>
      <c r="Q21" s="1"/>
      <c r="R21" s="1"/>
      <c r="S21" s="1"/>
      <c r="T21" s="1"/>
      <c r="U21" s="1"/>
      <c r="V21" s="1"/>
      <c r="W21" s="1"/>
      <c r="X21" s="1"/>
      <c r="Y21" s="1"/>
      <c r="Z21" s="1"/>
      <c r="AA21" s="1"/>
      <c r="AB21" s="1"/>
    </row>
    <row r="22" spans="1:28" ht="12" customHeight="1">
      <c r="A22" s="1" t="str">
        <f>IF($D$14="English","Substitution of standard weights: Standard weights of at least 1 t or 50% Max must be available","Einsatz von Ersatzlasten: Standardgewichte von mindestens 1t oder 50%Max müssen vorhanden sein. ")</f>
        <v>Substitution of standard weights: Standard weights of at least 1 t or 50% Max must be available</v>
      </c>
      <c r="B22" s="1"/>
      <c r="C22" s="6"/>
      <c r="D22" s="8"/>
      <c r="E22" s="8"/>
      <c r="F22" s="1"/>
      <c r="G22" s="1"/>
      <c r="H22" s="1"/>
      <c r="I22" s="1"/>
      <c r="J22" s="1"/>
      <c r="K22" s="6"/>
      <c r="L22" s="6"/>
      <c r="M22" s="6"/>
      <c r="N22" s="1"/>
      <c r="O22" s="1"/>
      <c r="P22" s="1"/>
      <c r="Q22" s="1"/>
      <c r="R22" s="1"/>
      <c r="S22" s="1"/>
      <c r="T22" s="1"/>
      <c r="U22" s="1"/>
      <c r="V22" s="1"/>
      <c r="W22" s="1"/>
      <c r="X22" s="1"/>
      <c r="Y22" s="1"/>
      <c r="Z22" s="1"/>
      <c r="AA22" s="1"/>
      <c r="AB22" s="1"/>
    </row>
    <row r="23" spans="1:28" ht="12" customHeight="1">
      <c r="A23" s="128"/>
      <c r="B23" s="1"/>
      <c r="C23" s="6"/>
      <c r="D23" s="8"/>
      <c r="E23" s="8"/>
      <c r="F23" s="1"/>
      <c r="G23" s="1"/>
      <c r="H23" s="1"/>
      <c r="I23" s="1"/>
      <c r="J23" s="1"/>
      <c r="K23" s="6"/>
      <c r="L23" s="6"/>
      <c r="M23" s="6"/>
      <c r="N23" s="1"/>
      <c r="O23" s="1"/>
      <c r="P23" s="1"/>
      <c r="Q23" s="1"/>
      <c r="R23" s="1"/>
      <c r="S23" s="1"/>
      <c r="T23" s="1"/>
      <c r="U23" s="1"/>
      <c r="V23" s="1"/>
      <c r="W23" s="1"/>
      <c r="X23" s="1"/>
      <c r="Y23" s="1"/>
      <c r="Z23" s="1"/>
      <c r="AA23" s="1"/>
      <c r="AB23" s="1"/>
    </row>
    <row r="24" spans="1:28" ht="12.75" customHeight="1">
      <c r="A24" s="234" t="str">
        <f>IF($D$14="English","load must be about","ungefähre Last")</f>
        <v>load must be about</v>
      </c>
      <c r="B24" s="223"/>
      <c r="C24" s="220"/>
      <c r="D24" s="231" t="s">
        <v>26</v>
      </c>
      <c r="E24" s="223"/>
      <c r="F24" s="220"/>
      <c r="G24" s="231" t="s">
        <v>27</v>
      </c>
      <c r="H24" s="220"/>
      <c r="I24" s="231" t="s">
        <v>28</v>
      </c>
      <c r="J24" s="220"/>
      <c r="K24" s="231" t="s">
        <v>29</v>
      </c>
      <c r="L24" s="220"/>
      <c r="M24" s="19" t="s">
        <v>30</v>
      </c>
      <c r="N24" s="231" t="s">
        <v>81</v>
      </c>
      <c r="O24" s="220"/>
      <c r="P24" s="385" t="str">
        <f t="shared" ref="P24:P28" si="0">IF(AND(N24&gt;=N25,N24&gt;=N26),N24,IF(AND(N25&gt;=N24,N25&gt;=N26),N25,IF(AND(N26&gt;=N24,N26&gt;=N25),N26)))</f>
        <v>e error</v>
      </c>
      <c r="Q24" s="237"/>
      <c r="R24" s="1"/>
      <c r="S24" s="1"/>
      <c r="T24" s="88"/>
      <c r="U24" s="1"/>
    </row>
    <row r="25" spans="1:28" ht="12" customHeight="1">
      <c r="A25" s="19" t="s">
        <v>32</v>
      </c>
      <c r="B25" s="231" t="s">
        <v>33</v>
      </c>
      <c r="C25" s="220"/>
      <c r="D25" s="19" t="s">
        <v>32</v>
      </c>
      <c r="E25" s="231" t="s">
        <v>33</v>
      </c>
      <c r="F25" s="220"/>
      <c r="G25" s="231" t="s">
        <v>33</v>
      </c>
      <c r="H25" s="220"/>
      <c r="I25" s="231" t="s">
        <v>33</v>
      </c>
      <c r="J25" s="220"/>
      <c r="K25" s="19" t="s">
        <v>33</v>
      </c>
      <c r="L25" s="21" t="s">
        <v>32</v>
      </c>
      <c r="M25" s="19" t="s">
        <v>34</v>
      </c>
      <c r="N25" s="231" t="s">
        <v>32</v>
      </c>
      <c r="O25" s="220"/>
      <c r="P25" s="385" t="str">
        <f t="shared" si="0"/>
        <v>[e]</v>
      </c>
      <c r="Q25" s="237"/>
      <c r="R25" s="1"/>
      <c r="S25" s="1"/>
      <c r="T25" s="1"/>
      <c r="U25" s="1"/>
    </row>
    <row r="26" spans="1:28" ht="12" customHeight="1">
      <c r="A26" s="24" t="str">
        <f>IF($D$10=0," ",$D$9/$D$10*0.5)</f>
        <v xml:space="preserve"> </v>
      </c>
      <c r="B26" s="282">
        <f t="shared" ref="B26:B28" si="1">$D$9*0.5</f>
        <v>0</v>
      </c>
      <c r="C26" s="220"/>
      <c r="D26" s="24" t="str">
        <f t="shared" ref="D26:D28" si="2">IF($D$10=0," ",$E$26/$D$10)</f>
        <v xml:space="preserve"> </v>
      </c>
      <c r="E26" s="284"/>
      <c r="F26" s="216"/>
      <c r="G26" s="271"/>
      <c r="H26" s="216"/>
      <c r="I26" s="270" t="str">
        <f t="shared" ref="I26:I28" si="3">IF(G26=0," ",G26-E26)</f>
        <v xml:space="preserve"> </v>
      </c>
      <c r="J26" s="220"/>
      <c r="K26" s="98">
        <f t="shared" ref="K26:K29" si="4">L26*$D$10</f>
        <v>0</v>
      </c>
      <c r="L26" s="26">
        <f t="shared" ref="L26:L28" si="5">IF(D26=" ",0,
IF($M$3="III", IF(D26&lt;=500,0.5,(IF(D26&lt;=2000,1,IF(D26&gt;2000,1.5," ")))),
IF($M$3="IV", IF(D26&lt;=50,0.5,(IF(D26&lt;=200,1,IF(D26&gt;200,1.5," "))))
)))</f>
        <v>0</v>
      </c>
      <c r="M26" s="27" t="str">
        <f t="shared" ref="M26:M29" si="6">IF(I26&lt;=K26,"Y","N")</f>
        <v>N</v>
      </c>
      <c r="N26" s="270" t="str">
        <f t="shared" ref="N26:N28" si="7">IF(G26=0," ",ROUND(I26/$D$10,2))</f>
        <v xml:space="preserve"> </v>
      </c>
      <c r="O26" s="220"/>
      <c r="P26" s="384" t="str">
        <f t="shared" si="0"/>
        <v xml:space="preserve"> </v>
      </c>
      <c r="Q26" s="237"/>
      <c r="R26" s="137"/>
      <c r="S26" s="1"/>
      <c r="T26" s="1"/>
      <c r="U26" s="1"/>
      <c r="V26" s="1"/>
      <c r="W26" s="1"/>
      <c r="X26" s="1"/>
      <c r="Y26" s="1"/>
      <c r="Z26" s="1"/>
      <c r="AA26" s="1"/>
      <c r="AB26" s="1"/>
    </row>
    <row r="27" spans="1:28" ht="12" customHeight="1">
      <c r="A27" s="24" t="str">
        <f>IF($D$10=0," ",$D$9/$D$10*0.5)</f>
        <v xml:space="preserve"> </v>
      </c>
      <c r="B27" s="282">
        <f t="shared" si="1"/>
        <v>0</v>
      </c>
      <c r="C27" s="220"/>
      <c r="D27" s="24" t="str">
        <f t="shared" si="2"/>
        <v xml:space="preserve"> </v>
      </c>
      <c r="E27" s="322" t="str">
        <f t="shared" ref="E27:E28" si="8">IF(E26=0," ",E26)</f>
        <v xml:space="preserve"> </v>
      </c>
      <c r="F27" s="220"/>
      <c r="G27" s="271"/>
      <c r="H27" s="216"/>
      <c r="I27" s="270" t="str">
        <f t="shared" si="3"/>
        <v xml:space="preserve"> </v>
      </c>
      <c r="J27" s="220"/>
      <c r="K27" s="98">
        <f t="shared" si="4"/>
        <v>0</v>
      </c>
      <c r="L27" s="26">
        <f t="shared" si="5"/>
        <v>0</v>
      </c>
      <c r="M27" s="27" t="str">
        <f t="shared" si="6"/>
        <v>N</v>
      </c>
      <c r="N27" s="270" t="str">
        <f t="shared" si="7"/>
        <v xml:space="preserve"> </v>
      </c>
      <c r="O27" s="220"/>
      <c r="P27" s="384" t="str">
        <f t="shared" si="0"/>
        <v xml:space="preserve"> </v>
      </c>
      <c r="Q27" s="237"/>
      <c r="R27" s="1"/>
      <c r="S27" s="1"/>
      <c r="T27" s="1"/>
      <c r="AA27" s="1"/>
      <c r="AB27" s="1"/>
    </row>
    <row r="28" spans="1:28" ht="12" customHeight="1">
      <c r="A28" s="24" t="str">
        <f>IF($D$10=0," ",$D$9/$D$10*0.5)</f>
        <v xml:space="preserve"> </v>
      </c>
      <c r="B28" s="282">
        <f t="shared" si="1"/>
        <v>0</v>
      </c>
      <c r="C28" s="220"/>
      <c r="D28" s="24" t="str">
        <f t="shared" si="2"/>
        <v xml:space="preserve"> </v>
      </c>
      <c r="E28" s="322" t="str">
        <f t="shared" si="8"/>
        <v xml:space="preserve"> </v>
      </c>
      <c r="F28" s="220"/>
      <c r="G28" s="271"/>
      <c r="H28" s="216"/>
      <c r="I28" s="270" t="str">
        <f t="shared" si="3"/>
        <v xml:space="preserve"> </v>
      </c>
      <c r="J28" s="220"/>
      <c r="K28" s="98">
        <f t="shared" si="4"/>
        <v>0</v>
      </c>
      <c r="L28" s="26">
        <f t="shared" si="5"/>
        <v>0</v>
      </c>
      <c r="M28" s="27" t="str">
        <f t="shared" si="6"/>
        <v>N</v>
      </c>
      <c r="N28" s="270" t="str">
        <f t="shared" si="7"/>
        <v xml:space="preserve"> </v>
      </c>
      <c r="O28" s="220"/>
      <c r="P28" s="384" t="str">
        <f t="shared" si="0"/>
        <v xml:space="preserve"> </v>
      </c>
      <c r="Q28" s="237"/>
      <c r="R28" s="1"/>
      <c r="S28" s="1"/>
      <c r="AA28" s="1"/>
      <c r="AB28" s="1"/>
    </row>
    <row r="29" spans="1:28" ht="12" customHeight="1">
      <c r="A29" s="28"/>
      <c r="B29" s="100"/>
      <c r="C29" s="101"/>
      <c r="D29" s="28"/>
      <c r="E29" s="100"/>
      <c r="F29" s="100"/>
      <c r="G29" s="231" t="s">
        <v>137</v>
      </c>
      <c r="H29" s="220"/>
      <c r="I29" s="270">
        <f>IF(G26=0,0,ROUND((MAX(G26:H28)-MIN(G26:H28)),4))</f>
        <v>0</v>
      </c>
      <c r="J29" s="220"/>
      <c r="K29" s="98">
        <f t="shared" si="4"/>
        <v>0</v>
      </c>
      <c r="L29" s="26">
        <f>IF(OR(D26=" ",D27=" ",D28=" "),0,
IF($M$3="III", IF(AND(D26&lt;=500,D27&lt;=500,D28&lt;=500),0.5,(IF(AND(D26&lt;=2000,D27&lt;=2000,D28&lt;=2000),1,IF(AND(D26&gt;2000,D27&gt;2000,D28&gt;2000),1.5," ")))),
IF($M$3="IV", IF(AND(D26&lt;=50,D27&lt;=50,D28&lt;=50),0.5,(IF(AND(D26&lt;=200,D27&lt;=200,D28&lt;=200),1,IF(AND(D26&gt;200,D27&gt;200,D28&gt;200),1.5," "))))
)))</f>
        <v>0</v>
      </c>
      <c r="M29" s="27" t="str">
        <f t="shared" si="6"/>
        <v>Y</v>
      </c>
      <c r="N29" s="43"/>
      <c r="O29" s="43"/>
      <c r="P29" s="1"/>
      <c r="Q29" s="1"/>
      <c r="R29" s="1"/>
      <c r="S29" s="1"/>
      <c r="AA29" s="1"/>
      <c r="AB29" s="1"/>
    </row>
    <row r="30" spans="1:28" ht="12" customHeight="1">
      <c r="A30" s="1"/>
      <c r="B30" s="1"/>
      <c r="C30" s="1"/>
      <c r="D30" s="1"/>
      <c r="E30" s="1"/>
      <c r="F30" s="1"/>
      <c r="G30" s="1"/>
      <c r="H30" s="1"/>
      <c r="I30" s="1"/>
      <c r="J30" s="224" t="str">
        <f>IF($D$14="English","Test passed?","Test bestanden?")</f>
        <v>Test passed?</v>
      </c>
      <c r="K30" s="225"/>
      <c r="L30" s="226"/>
      <c r="M30" s="27" t="str">
        <f>IF(AND(M26="Y",M27="Y",M28="Y",M29="Y"),"Y","N")</f>
        <v>N</v>
      </c>
      <c r="N30" s="1"/>
      <c r="O30" s="1"/>
      <c r="P30" s="1"/>
      <c r="Q30" s="1"/>
      <c r="R30" s="1"/>
      <c r="S30" s="1"/>
      <c r="T30" s="1"/>
      <c r="U30" s="1"/>
      <c r="V30" s="1"/>
      <c r="W30" s="1"/>
      <c r="X30" s="1"/>
      <c r="Y30" s="1"/>
      <c r="Z30" s="1"/>
      <c r="AA30" s="1"/>
      <c r="AB30" s="1"/>
    </row>
    <row r="31" spans="1:28" ht="12" customHeight="1">
      <c r="A31" s="1"/>
      <c r="B31" s="1"/>
      <c r="C31" s="1"/>
      <c r="D31" s="1"/>
      <c r="E31" s="1"/>
      <c r="F31" s="1"/>
      <c r="G31" s="1"/>
      <c r="H31" s="1"/>
      <c r="I31" s="1"/>
      <c r="J31" s="6"/>
      <c r="M31" s="1"/>
      <c r="N31" s="1"/>
      <c r="O31" s="1"/>
      <c r="P31" s="1"/>
      <c r="Q31" s="1"/>
      <c r="R31" s="1"/>
      <c r="S31" s="1"/>
      <c r="T31" s="1"/>
      <c r="U31" s="1"/>
      <c r="V31" s="1"/>
      <c r="W31" s="1"/>
      <c r="X31" s="1"/>
      <c r="Y31" s="1"/>
      <c r="Z31" s="1"/>
      <c r="AA31" s="1"/>
      <c r="AB31" s="1"/>
    </row>
    <row r="32" spans="1:28" ht="15.75" customHeight="1">
      <c r="A32" s="7" t="str">
        <f>IF($D$14="English","2.  Accuracy of Zero Device (hi-res mode: off):","2.  Prüfung der Genauigkeit der Nullstellung (Hi-Res-Modus aus):")</f>
        <v>2.  Accuracy of Zero Device (hi-res mode: off):</v>
      </c>
      <c r="B32" s="1"/>
      <c r="C32" s="1"/>
      <c r="D32" s="1"/>
      <c r="E32" s="1"/>
      <c r="F32" s="1"/>
      <c r="G32" s="1"/>
      <c r="H32" s="1" t="str">
        <f>IF($D$14="English","accordance to EN45501-2015, A.4.2.3","gemäß EN45501-2015, A.4.2.3")</f>
        <v>accordance to EN45501-2015, A.4.2.3</v>
      </c>
      <c r="I32" s="1"/>
      <c r="J32" s="1"/>
      <c r="K32" s="1"/>
      <c r="L32" s="30"/>
      <c r="M32" s="1"/>
      <c r="N32" s="1"/>
      <c r="O32" s="1"/>
      <c r="P32" s="1"/>
      <c r="Q32" s="1"/>
      <c r="R32" s="1"/>
      <c r="S32" s="1"/>
      <c r="T32" s="1"/>
      <c r="U32" s="1"/>
      <c r="V32" s="1"/>
      <c r="W32" s="1"/>
      <c r="X32" s="1"/>
      <c r="Y32" s="1"/>
      <c r="Z32" s="1"/>
      <c r="AA32" s="1"/>
      <c r="AB32" s="1"/>
    </row>
    <row r="33" spans="1:28" ht="12" customHeight="1">
      <c r="A33" s="231" t="s">
        <v>48</v>
      </c>
      <c r="B33" s="223"/>
      <c r="C33" s="223"/>
      <c r="D33" s="220"/>
      <c r="E33" s="231" t="s">
        <v>49</v>
      </c>
      <c r="F33" s="223"/>
      <c r="G33" s="220"/>
      <c r="H33" s="231" t="s">
        <v>29</v>
      </c>
      <c r="I33" s="220"/>
      <c r="J33" s="19" t="s">
        <v>30</v>
      </c>
      <c r="K33" s="30"/>
      <c r="L33" s="1"/>
      <c r="M33" s="1"/>
      <c r="N33" s="1"/>
      <c r="O33" s="1"/>
      <c r="P33" s="1"/>
      <c r="Q33" s="1"/>
      <c r="R33" s="1"/>
      <c r="S33" s="1"/>
      <c r="T33" s="1"/>
      <c r="U33" s="1"/>
      <c r="V33" s="1"/>
      <c r="W33" s="1"/>
      <c r="X33" s="1"/>
      <c r="Y33" s="1"/>
      <c r="Z33" s="1"/>
      <c r="AA33" s="1"/>
      <c r="AB33" s="1"/>
    </row>
    <row r="34" spans="1:28" ht="12.75" customHeight="1">
      <c r="A34" s="231" t="s">
        <v>33</v>
      </c>
      <c r="B34" s="223"/>
      <c r="C34" s="223"/>
      <c r="D34" s="220"/>
      <c r="E34" s="231" t="s">
        <v>33</v>
      </c>
      <c r="F34" s="223"/>
      <c r="G34" s="220"/>
      <c r="H34" s="19" t="s">
        <v>33</v>
      </c>
      <c r="I34" s="21" t="s">
        <v>32</v>
      </c>
      <c r="J34" s="19" t="s">
        <v>34</v>
      </c>
      <c r="K34" s="30"/>
      <c r="L34" s="1"/>
      <c r="M34" s="1"/>
      <c r="N34" s="1"/>
      <c r="O34" s="1"/>
      <c r="P34" s="1"/>
      <c r="Q34" s="1"/>
      <c r="R34" s="1"/>
      <c r="S34" s="1"/>
      <c r="T34" s="1"/>
      <c r="U34" s="1"/>
      <c r="V34" s="1"/>
      <c r="W34" s="1"/>
      <c r="X34" s="1"/>
      <c r="Y34" s="1"/>
      <c r="Z34" s="1"/>
      <c r="AA34" s="1"/>
      <c r="AB34" s="1"/>
    </row>
    <row r="35" spans="1:28" ht="12" customHeight="1">
      <c r="A35" s="286"/>
      <c r="B35" s="215"/>
      <c r="C35" s="215"/>
      <c r="D35" s="216"/>
      <c r="E35" s="268">
        <f>0.5*$D$10-$A$35</f>
        <v>0</v>
      </c>
      <c r="F35" s="223"/>
      <c r="G35" s="220"/>
      <c r="H35" s="90">
        <f>I35*$D$10</f>
        <v>0</v>
      </c>
      <c r="I35" s="36">
        <v>0.25</v>
      </c>
      <c r="J35" s="27" t="str">
        <f>IF(D35=" ","N",IF(H35&gt;=ABS($E35),"Y","N"))</f>
        <v>Y</v>
      </c>
      <c r="K35" s="28"/>
      <c r="R35" s="1"/>
      <c r="S35" s="1"/>
      <c r="T35" s="1"/>
      <c r="U35" s="1"/>
      <c r="V35" s="1"/>
      <c r="W35" s="1"/>
      <c r="X35" s="1"/>
      <c r="Y35" s="1"/>
      <c r="Z35" s="1"/>
      <c r="AA35" s="1"/>
      <c r="AB35" s="1"/>
    </row>
    <row r="36" spans="1:28" ht="12" customHeight="1">
      <c r="A36" s="7"/>
      <c r="B36" s="7"/>
      <c r="C36" s="1"/>
      <c r="D36" s="1"/>
      <c r="E36" s="1"/>
      <c r="F36" s="1"/>
      <c r="G36" s="1"/>
      <c r="H36" s="1"/>
      <c r="I36" s="6" t="str">
        <f>IF($D$14="English","Test passed?","Test bestanden?")</f>
        <v>Test passed?</v>
      </c>
      <c r="J36" s="27" t="str">
        <f>IF(J35="Y","Y","N")</f>
        <v>Y</v>
      </c>
      <c r="K36" s="1"/>
      <c r="R36" s="1"/>
      <c r="S36" s="1"/>
      <c r="T36" s="1"/>
      <c r="U36" s="1"/>
      <c r="V36" s="1"/>
      <c r="W36" s="1"/>
      <c r="X36" s="1"/>
      <c r="Y36" s="1"/>
      <c r="Z36" s="1"/>
      <c r="AA36" s="1"/>
      <c r="AB36" s="1"/>
    </row>
    <row r="37" spans="1:28" ht="12" customHeight="1">
      <c r="A37" s="7"/>
      <c r="B37" s="1"/>
      <c r="C37" s="1"/>
      <c r="D37" s="1"/>
      <c r="E37" s="1"/>
      <c r="F37" s="1"/>
      <c r="G37" s="1"/>
      <c r="H37" s="1"/>
      <c r="I37" s="1"/>
      <c r="J37" s="1"/>
      <c r="K37" s="1"/>
      <c r="L37" s="30"/>
      <c r="M37" s="1"/>
      <c r="R37" s="1"/>
      <c r="S37" s="1"/>
      <c r="T37" s="1"/>
      <c r="U37" s="1"/>
      <c r="V37" s="1"/>
      <c r="W37" s="1"/>
      <c r="X37" s="1"/>
      <c r="Y37" s="1"/>
      <c r="Z37" s="1"/>
      <c r="AA37" s="1"/>
      <c r="AB37" s="1"/>
    </row>
    <row r="38" spans="1:28" ht="12" customHeight="1">
      <c r="A38" s="7" t="str">
        <f>IF($D$14="English","3.  Accuracy of Tare Device  (hi-res mode: off):","3.  Genauigkeit der Tarierung  (Hi-Res-Modus: aus):")</f>
        <v>3.  Accuracy of Tare Device  (hi-res mode: off):</v>
      </c>
      <c r="B38" s="31"/>
      <c r="C38" s="32"/>
      <c r="D38" s="1"/>
      <c r="E38" s="1"/>
      <c r="F38" s="1"/>
      <c r="G38" s="1" t="str">
        <f>IF($D$14="English","accordance to EN45501-2015, A.4.6.2","gemäß EN45501-2015, A.4.6.2")</f>
        <v>accordance to EN45501-2015, A.4.6.2</v>
      </c>
      <c r="H38" s="1"/>
      <c r="J38" s="17"/>
      <c r="K38" s="1"/>
      <c r="L38" s="1"/>
      <c r="M38" s="33" t="s">
        <v>50</v>
      </c>
      <c r="O38" s="34"/>
      <c r="R38" s="1"/>
      <c r="S38" s="1"/>
      <c r="T38" s="1"/>
      <c r="U38" s="1"/>
      <c r="V38" s="1"/>
      <c r="W38" s="1"/>
      <c r="X38" s="1"/>
      <c r="Y38" s="1"/>
      <c r="Z38" s="1"/>
      <c r="AA38" s="1"/>
      <c r="AB38" s="1"/>
    </row>
    <row r="39" spans="1:28" ht="12" customHeight="1">
      <c r="A39" s="1"/>
      <c r="B39" s="31"/>
      <c r="C39" s="32"/>
      <c r="D39" s="1"/>
      <c r="E39" s="1"/>
      <c r="F39" s="1"/>
      <c r="G39" s="6"/>
      <c r="H39" s="1"/>
      <c r="J39" s="17"/>
      <c r="K39" s="1"/>
      <c r="L39" s="1"/>
      <c r="M39" s="1"/>
      <c r="N39" s="1"/>
      <c r="O39" s="1"/>
      <c r="P39" s="1"/>
      <c r="Q39" s="1"/>
      <c r="R39" s="1"/>
      <c r="S39" s="1"/>
      <c r="T39" s="1"/>
      <c r="U39" s="1"/>
      <c r="V39" s="1"/>
      <c r="W39" s="1"/>
      <c r="X39" s="1"/>
      <c r="Y39" s="1"/>
      <c r="Z39" s="1"/>
      <c r="AA39" s="1"/>
      <c r="AB39" s="1"/>
    </row>
    <row r="40" spans="1:28" ht="12" customHeight="1">
      <c r="A40" s="231" t="s">
        <v>48</v>
      </c>
      <c r="B40" s="223"/>
      <c r="C40" s="223"/>
      <c r="D40" s="220"/>
      <c r="E40" s="231" t="s">
        <v>51</v>
      </c>
      <c r="F40" s="223"/>
      <c r="G40" s="220"/>
      <c r="H40" s="231" t="s">
        <v>29</v>
      </c>
      <c r="I40" s="220"/>
      <c r="J40" s="19" t="s">
        <v>30</v>
      </c>
      <c r="K40" s="1"/>
      <c r="L40" s="1"/>
      <c r="M40" s="1"/>
      <c r="N40" s="1"/>
      <c r="O40" s="1"/>
      <c r="P40" s="1"/>
      <c r="Q40" s="1"/>
      <c r="R40" s="1"/>
      <c r="S40" s="1"/>
      <c r="T40" s="1"/>
      <c r="U40" s="1"/>
      <c r="V40" s="1"/>
      <c r="W40" s="1"/>
      <c r="X40" s="1"/>
      <c r="Y40" s="1"/>
      <c r="Z40" s="1"/>
      <c r="AA40" s="1"/>
      <c r="AB40" s="1"/>
    </row>
    <row r="41" spans="1:28" ht="12" customHeight="1">
      <c r="A41" s="231" t="s">
        <v>33</v>
      </c>
      <c r="B41" s="223"/>
      <c r="C41" s="223"/>
      <c r="D41" s="220"/>
      <c r="E41" s="231" t="s">
        <v>33</v>
      </c>
      <c r="F41" s="223"/>
      <c r="G41" s="220"/>
      <c r="H41" s="19" t="s">
        <v>33</v>
      </c>
      <c r="I41" s="21" t="s">
        <v>32</v>
      </c>
      <c r="J41" s="19" t="s">
        <v>34</v>
      </c>
      <c r="K41" s="1"/>
      <c r="L41" s="1"/>
      <c r="M41" s="1"/>
      <c r="N41" s="1"/>
      <c r="O41" s="1"/>
      <c r="P41" s="1"/>
      <c r="Q41" s="1"/>
      <c r="R41" s="1"/>
      <c r="S41" s="1"/>
      <c r="T41" s="1"/>
      <c r="U41" s="1"/>
      <c r="V41" s="1"/>
      <c r="W41" s="1"/>
      <c r="X41" s="1"/>
      <c r="Y41" s="1"/>
      <c r="Z41" s="1"/>
      <c r="AA41" s="1"/>
      <c r="AB41" s="1"/>
    </row>
    <row r="42" spans="1:28" ht="12" customHeight="1">
      <c r="A42" s="286"/>
      <c r="B42" s="215"/>
      <c r="C42" s="215"/>
      <c r="D42" s="216"/>
      <c r="E42" s="268" t="str">
        <f>IF(A42=0," ",0.5*$D$10-$A$42)</f>
        <v xml:space="preserve"> </v>
      </c>
      <c r="F42" s="223"/>
      <c r="G42" s="220"/>
      <c r="H42" s="90">
        <f>I42*$D$10</f>
        <v>0</v>
      </c>
      <c r="I42" s="36">
        <v>0.25</v>
      </c>
      <c r="J42" s="27" t="str">
        <f>IF(A42=0," ",IF(H42&gt;=ABS($E42),"Y","N"))</f>
        <v xml:space="preserve"> </v>
      </c>
      <c r="K42" s="1"/>
      <c r="L42" s="1"/>
      <c r="M42" s="1"/>
      <c r="N42" s="1"/>
      <c r="O42" s="1"/>
      <c r="P42" s="1"/>
      <c r="Q42" s="1"/>
      <c r="R42" s="1"/>
      <c r="S42" s="1"/>
      <c r="T42" s="1"/>
      <c r="U42" s="1"/>
      <c r="V42" s="1"/>
      <c r="W42" s="1"/>
      <c r="X42" s="1"/>
      <c r="Y42" s="1"/>
      <c r="Z42" s="1"/>
      <c r="AA42" s="1"/>
      <c r="AB42" s="1"/>
    </row>
    <row r="43" spans="1:28" ht="12" customHeight="1">
      <c r="A43" s="7"/>
      <c r="B43" s="7"/>
      <c r="C43" s="1"/>
      <c r="D43" s="1"/>
      <c r="E43" s="1"/>
      <c r="F43" s="1"/>
      <c r="G43" s="1"/>
      <c r="H43" s="1"/>
      <c r="I43" s="6" t="str">
        <f>IF($D$14="English","Test passed?","Test bestanden?")</f>
        <v>Test passed?</v>
      </c>
      <c r="J43" s="27" t="str">
        <f>IF(J42="Y","Y","N")</f>
        <v>N</v>
      </c>
      <c r="K43" s="1"/>
      <c r="L43" s="1"/>
      <c r="M43" s="1"/>
      <c r="N43" s="1"/>
      <c r="O43" s="1"/>
      <c r="P43" s="1"/>
      <c r="Q43" s="1"/>
      <c r="R43" s="1"/>
      <c r="S43" s="1"/>
      <c r="T43" s="1"/>
      <c r="U43" s="1"/>
      <c r="V43" s="1"/>
      <c r="W43" s="1"/>
      <c r="X43" s="1"/>
      <c r="Y43" s="1"/>
      <c r="Z43" s="1"/>
      <c r="AA43" s="1"/>
      <c r="AB43" s="1"/>
    </row>
    <row r="44" spans="1:28" ht="12" customHeight="1">
      <c r="A44" s="1"/>
      <c r="B44" s="1"/>
      <c r="C44" s="1"/>
      <c r="D44" s="1"/>
      <c r="E44" s="1"/>
      <c r="F44" s="1"/>
      <c r="G44" s="6"/>
      <c r="J44" s="17"/>
      <c r="K44" s="1"/>
      <c r="L44" s="1"/>
      <c r="M44" s="1"/>
      <c r="N44" s="1"/>
      <c r="O44" s="1"/>
      <c r="P44" s="1"/>
      <c r="Q44" s="1"/>
      <c r="R44" s="1"/>
      <c r="S44" s="1"/>
      <c r="T44" s="1"/>
      <c r="U44" s="1"/>
      <c r="V44" s="1"/>
      <c r="W44" s="1"/>
      <c r="X44" s="1"/>
      <c r="Y44" s="1"/>
      <c r="Z44" s="1"/>
      <c r="AA44" s="1"/>
      <c r="AB44" s="1"/>
    </row>
    <row r="45" spans="1:28" ht="12" customHeight="1">
      <c r="A45" s="297" t="str">
        <f>IF($D$14="English","4.  Weighing / Linearity Test (Indicator in hi-res mode):","4. Prüfung der Richtigkeit mit Normallast (Indikator in Hi-Res-Modus):")</f>
        <v>4.  Weighing / Linearity Test (Indicator in hi-res mode):</v>
      </c>
      <c r="B45" s="237"/>
      <c r="C45" s="237"/>
      <c r="D45" s="237"/>
      <c r="E45" s="237"/>
      <c r="F45" s="237"/>
      <c r="G45" s="237"/>
      <c r="H45" s="237"/>
      <c r="I45" s="1"/>
      <c r="J45" s="14"/>
      <c r="K45" s="1"/>
      <c r="L45" s="1"/>
      <c r="M45" s="6"/>
      <c r="N45" s="1"/>
      <c r="O45" s="1"/>
      <c r="P45" s="1"/>
      <c r="Q45" s="1"/>
      <c r="R45" s="1"/>
      <c r="S45" s="1"/>
      <c r="T45" s="1"/>
      <c r="U45" s="1"/>
      <c r="V45" s="1"/>
      <c r="W45" s="1"/>
      <c r="X45" s="1"/>
      <c r="Y45" s="1"/>
      <c r="Z45" s="1"/>
      <c r="AA45" s="1"/>
      <c r="AB45" s="1"/>
    </row>
    <row r="46" spans="1:28" ht="12" customHeight="1">
      <c r="A46" s="298"/>
      <c r="B46" s="298"/>
      <c r="C46" s="298"/>
      <c r="D46" s="298"/>
      <c r="E46" s="298"/>
      <c r="F46" s="298"/>
      <c r="G46" s="298"/>
      <c r="H46" s="298"/>
      <c r="I46" s="1" t="str">
        <f>IF($D$14="English","accordance to EN45501-2015, A.4.4.1","gemäß EN45501-2015, A.4.4.1")</f>
        <v>accordance to EN45501-2015, A.4.4.1</v>
      </c>
      <c r="J46" s="14"/>
      <c r="K46" s="1"/>
      <c r="L46" s="1"/>
      <c r="M46" s="6"/>
      <c r="N46" s="1"/>
      <c r="O46" s="1"/>
      <c r="P46" s="1"/>
      <c r="Q46" s="1"/>
      <c r="R46" s="1"/>
      <c r="S46" s="1"/>
      <c r="T46" s="1"/>
      <c r="U46" s="1"/>
      <c r="V46" s="1"/>
      <c r="W46" s="1"/>
      <c r="X46" s="1"/>
      <c r="Y46" s="1"/>
      <c r="Z46" s="1"/>
      <c r="AA46" s="1"/>
      <c r="AB46" s="1"/>
    </row>
    <row r="47" spans="1:28" ht="12" customHeight="1">
      <c r="A47" s="234" t="str">
        <f>IF($D$14="English","load must be about","ungefähre Last")</f>
        <v>load must be about</v>
      </c>
      <c r="B47" s="223"/>
      <c r="C47" s="220"/>
      <c r="D47" s="231" t="s">
        <v>26</v>
      </c>
      <c r="E47" s="223"/>
      <c r="F47" s="220"/>
      <c r="G47" s="231" t="s">
        <v>27</v>
      </c>
      <c r="H47" s="220"/>
      <c r="I47" s="231" t="s">
        <v>101</v>
      </c>
      <c r="J47" s="220"/>
      <c r="K47" s="231" t="s">
        <v>29</v>
      </c>
      <c r="L47" s="220"/>
      <c r="M47" s="309" t="s">
        <v>109</v>
      </c>
      <c r="N47" s="220"/>
      <c r="O47" s="155" t="s">
        <v>110</v>
      </c>
      <c r="P47" s="385"/>
      <c r="Q47" s="237"/>
      <c r="R47" s="1"/>
      <c r="S47" s="1"/>
      <c r="T47" s="1"/>
      <c r="U47" s="1"/>
      <c r="V47" s="1"/>
      <c r="W47" s="1"/>
      <c r="X47" s="1"/>
      <c r="Y47" s="1"/>
      <c r="Z47" s="1"/>
      <c r="AA47" s="1"/>
      <c r="AB47" s="1"/>
    </row>
    <row r="48" spans="1:28" ht="12" customHeight="1">
      <c r="A48" s="19" t="s">
        <v>32</v>
      </c>
      <c r="B48" s="239" t="s">
        <v>33</v>
      </c>
      <c r="C48" s="220"/>
      <c r="D48" s="19" t="s">
        <v>32</v>
      </c>
      <c r="E48" s="239" t="s">
        <v>33</v>
      </c>
      <c r="F48" s="220"/>
      <c r="G48" s="231" t="s">
        <v>33</v>
      </c>
      <c r="H48" s="220"/>
      <c r="I48" s="231" t="s">
        <v>33</v>
      </c>
      <c r="J48" s="223"/>
      <c r="K48" s="19" t="s">
        <v>33</v>
      </c>
      <c r="L48" s="21" t="s">
        <v>32</v>
      </c>
      <c r="M48" s="231" t="s">
        <v>33</v>
      </c>
      <c r="N48" s="220"/>
      <c r="O48" s="156"/>
      <c r="P48" s="385"/>
      <c r="Q48" s="237"/>
      <c r="R48" s="1"/>
      <c r="S48" s="1"/>
      <c r="T48" s="1"/>
      <c r="U48" s="1"/>
      <c r="V48" s="1"/>
      <c r="W48" s="1"/>
      <c r="X48" s="1"/>
      <c r="Y48" s="1"/>
      <c r="Z48" s="1"/>
      <c r="AA48" s="1"/>
      <c r="AB48" s="1"/>
    </row>
    <row r="49" spans="1:28" ht="12" customHeight="1">
      <c r="A49" s="38">
        <v>20</v>
      </c>
      <c r="B49" s="282">
        <f>A49*$D$10</f>
        <v>0</v>
      </c>
      <c r="C49" s="220"/>
      <c r="D49" s="38" t="str">
        <f t="shared" ref="D49:D57" si="9">IF($D$10=0,"-",E49/$D$10)</f>
        <v>-</v>
      </c>
      <c r="E49" s="285"/>
      <c r="F49" s="216"/>
      <c r="G49" s="321"/>
      <c r="H49" s="216"/>
      <c r="I49" s="270" t="str">
        <f t="shared" ref="I49:I57" si="10">IF(G49=0," ",(G49-E49))</f>
        <v xml:space="preserve"> </v>
      </c>
      <c r="J49" s="220"/>
      <c r="K49" s="82">
        <f t="shared" ref="K49:K57" si="11">IF(L49=" "," ",L49*$D$10)</f>
        <v>0</v>
      </c>
      <c r="L49" s="26">
        <f t="shared" ref="L49:L57" si="12">IF($M$3="III", IF(D49&lt;=500,0.5,(IF(D49&lt;=2000,1,IF(D49&gt;2000,1.5," ")))),
IF($M$3="IV", IF(D49&lt;=50,0.5,(IF(D49&lt;=200,1,IF(D49&gt;200,1.5," "))))
))</f>
        <v>1.5</v>
      </c>
      <c r="M49" s="373" t="str">
        <f t="shared" ref="M49:M57" si="13">IF(E49=0," ",IF($E$35=" "," ",ROUND(I49-$E$35,3)))</f>
        <v xml:space="preserve"> </v>
      </c>
      <c r="N49" s="220"/>
      <c r="O49" s="27" t="str">
        <f t="shared" ref="O49:O57" si="14">IF(M49=" "," ",IF(ABS(M49)&lt;=K49,"Y","N"))</f>
        <v xml:space="preserve"> </v>
      </c>
      <c r="P49" s="384"/>
      <c r="Q49" s="237"/>
      <c r="R49" s="1"/>
      <c r="S49" s="1"/>
      <c r="T49" s="1"/>
      <c r="U49" s="1"/>
      <c r="V49" s="1"/>
      <c r="W49" s="1"/>
      <c r="X49" s="1"/>
      <c r="Y49" s="1"/>
      <c r="Z49" s="1"/>
      <c r="AA49" s="1"/>
      <c r="AB49" s="1"/>
    </row>
    <row r="50" spans="1:28" ht="12" customHeight="1">
      <c r="A50" s="24" t="str">
        <f>IF($D$10=0,"-",IF($D$9/$D$10=500,100,IF($D$9/$D$10&lt;=1000,100,IF($D$9/$D$10&lt;=2000,200,500))))</f>
        <v>-</v>
      </c>
      <c r="B50" s="282" t="str">
        <f t="shared" ref="B50:B56" si="15">IF($D$10=0," ",A50*$D$10)</f>
        <v xml:space="preserve"> </v>
      </c>
      <c r="C50" s="220"/>
      <c r="D50" s="38" t="str">
        <f t="shared" si="9"/>
        <v>-</v>
      </c>
      <c r="E50" s="285"/>
      <c r="F50" s="216"/>
      <c r="G50" s="321"/>
      <c r="H50" s="216"/>
      <c r="I50" s="270" t="str">
        <f t="shared" si="10"/>
        <v xml:space="preserve"> </v>
      </c>
      <c r="J50" s="220"/>
      <c r="K50" s="82">
        <f t="shared" si="11"/>
        <v>0</v>
      </c>
      <c r="L50" s="26">
        <f t="shared" si="12"/>
        <v>1.5</v>
      </c>
      <c r="M50" s="373" t="str">
        <f t="shared" si="13"/>
        <v xml:space="preserve"> </v>
      </c>
      <c r="N50" s="220"/>
      <c r="O50" s="27" t="str">
        <f t="shared" si="14"/>
        <v xml:space="preserve"> </v>
      </c>
      <c r="P50" s="384"/>
      <c r="Q50" s="237"/>
      <c r="R50" s="1"/>
      <c r="S50" s="1"/>
      <c r="T50" s="1"/>
      <c r="U50" s="1"/>
      <c r="V50" s="1"/>
      <c r="W50" s="1"/>
      <c r="X50" s="1"/>
      <c r="Y50" s="1"/>
      <c r="Z50" s="1"/>
      <c r="AA50" s="1"/>
      <c r="AB50" s="1"/>
    </row>
    <row r="51" spans="1:28" ht="12" customHeight="1">
      <c r="A51" s="24" t="str">
        <f>IF($D$10=0,"-",IF($D$9/$D$10=500,200,IF($D$9/$D$10&lt;=1000,200,IF($D$9/$D$10&lt;=2000,500,1000))))</f>
        <v>-</v>
      </c>
      <c r="B51" s="282" t="str">
        <f t="shared" si="15"/>
        <v xml:space="preserve"> </v>
      </c>
      <c r="C51" s="220"/>
      <c r="D51" s="38" t="str">
        <f t="shared" si="9"/>
        <v>-</v>
      </c>
      <c r="E51" s="285"/>
      <c r="F51" s="216"/>
      <c r="G51" s="321"/>
      <c r="H51" s="216"/>
      <c r="I51" s="270" t="str">
        <f t="shared" si="10"/>
        <v xml:space="preserve"> </v>
      </c>
      <c r="J51" s="220"/>
      <c r="K51" s="82">
        <f t="shared" si="11"/>
        <v>0</v>
      </c>
      <c r="L51" s="26">
        <f t="shared" si="12"/>
        <v>1.5</v>
      </c>
      <c r="M51" s="373" t="str">
        <f t="shared" si="13"/>
        <v xml:space="preserve"> </v>
      </c>
      <c r="N51" s="220"/>
      <c r="O51" s="27" t="str">
        <f t="shared" si="14"/>
        <v xml:space="preserve"> </v>
      </c>
      <c r="P51" s="384"/>
      <c r="Q51" s="237"/>
      <c r="R51" s="1"/>
      <c r="S51" s="1"/>
      <c r="T51" s="1"/>
      <c r="U51" s="1"/>
      <c r="V51" s="1"/>
      <c r="W51" s="1"/>
      <c r="X51" s="1"/>
      <c r="Y51" s="1"/>
      <c r="Z51" s="1"/>
      <c r="AA51" s="1"/>
      <c r="AB51" s="1"/>
    </row>
    <row r="52" spans="1:28" ht="12" customHeight="1">
      <c r="A52" s="24" t="str">
        <f>IF($D$10=0,"-",IF($D$9/$D$10=500,300,IF($D$9/$D$10&lt;=1000,500,IF($D$9/$D$10&lt;=2000,1000,2000))))</f>
        <v>-</v>
      </c>
      <c r="B52" s="282" t="str">
        <f t="shared" si="15"/>
        <v xml:space="preserve"> </v>
      </c>
      <c r="C52" s="220"/>
      <c r="D52" s="38" t="str">
        <f t="shared" si="9"/>
        <v>-</v>
      </c>
      <c r="E52" s="285"/>
      <c r="F52" s="216"/>
      <c r="G52" s="321"/>
      <c r="H52" s="216"/>
      <c r="I52" s="270" t="str">
        <f t="shared" si="10"/>
        <v xml:space="preserve"> </v>
      </c>
      <c r="J52" s="220"/>
      <c r="K52" s="82">
        <f t="shared" si="11"/>
        <v>0</v>
      </c>
      <c r="L52" s="26">
        <f t="shared" si="12"/>
        <v>1.5</v>
      </c>
      <c r="M52" s="373" t="str">
        <f t="shared" si="13"/>
        <v xml:space="preserve"> </v>
      </c>
      <c r="N52" s="220"/>
      <c r="O52" s="27" t="str">
        <f t="shared" si="14"/>
        <v xml:space="preserve"> </v>
      </c>
      <c r="P52" s="384"/>
      <c r="Q52" s="237"/>
      <c r="R52" s="1"/>
      <c r="S52" s="1"/>
      <c r="T52" s="1"/>
      <c r="U52" s="1"/>
      <c r="V52" s="1"/>
      <c r="W52" s="1"/>
      <c r="X52" s="1"/>
      <c r="Y52" s="1"/>
      <c r="Z52" s="1"/>
      <c r="AA52" s="1"/>
      <c r="AB52" s="1"/>
    </row>
    <row r="53" spans="1:28" ht="12" customHeight="1">
      <c r="A53" s="24" t="str">
        <f>IF($D$10=0,"-",$D$9/$D$10)</f>
        <v>-</v>
      </c>
      <c r="B53" s="282" t="str">
        <f t="shared" si="15"/>
        <v xml:space="preserve"> </v>
      </c>
      <c r="C53" s="220"/>
      <c r="D53" s="38" t="str">
        <f t="shared" si="9"/>
        <v>-</v>
      </c>
      <c r="E53" s="285"/>
      <c r="F53" s="216"/>
      <c r="G53" s="321"/>
      <c r="H53" s="216"/>
      <c r="I53" s="270" t="str">
        <f t="shared" si="10"/>
        <v xml:space="preserve"> </v>
      </c>
      <c r="J53" s="220"/>
      <c r="K53" s="82">
        <f t="shared" si="11"/>
        <v>0</v>
      </c>
      <c r="L53" s="26">
        <f t="shared" si="12"/>
        <v>1.5</v>
      </c>
      <c r="M53" s="373" t="str">
        <f t="shared" si="13"/>
        <v xml:space="preserve"> </v>
      </c>
      <c r="N53" s="220"/>
      <c r="O53" s="27" t="str">
        <f t="shared" si="14"/>
        <v xml:space="preserve"> </v>
      </c>
      <c r="P53" s="384"/>
      <c r="Q53" s="237"/>
      <c r="R53" s="1"/>
      <c r="S53" s="1"/>
      <c r="T53" s="1"/>
      <c r="U53" s="1"/>
      <c r="V53" s="1"/>
      <c r="W53" s="1"/>
      <c r="X53" s="1"/>
      <c r="Y53" s="1"/>
      <c r="Z53" s="1"/>
      <c r="AA53" s="1"/>
      <c r="AB53" s="1"/>
    </row>
    <row r="54" spans="1:28" ht="12" customHeight="1">
      <c r="A54" s="24" t="str">
        <f>IF($D$10=0,"-",IF($D$9/$D$10=500,300,IF($D$9/$D$10&lt;=1000,500,IF($D$9/$D$10&lt;=2000,1000,2000))))</f>
        <v>-</v>
      </c>
      <c r="B54" s="282" t="str">
        <f t="shared" si="15"/>
        <v xml:space="preserve"> </v>
      </c>
      <c r="C54" s="220"/>
      <c r="D54" s="38" t="str">
        <f t="shared" si="9"/>
        <v>-</v>
      </c>
      <c r="E54" s="283">
        <f>E52</f>
        <v>0</v>
      </c>
      <c r="F54" s="220"/>
      <c r="G54" s="321"/>
      <c r="H54" s="216"/>
      <c r="I54" s="270" t="str">
        <f t="shared" si="10"/>
        <v xml:space="preserve"> </v>
      </c>
      <c r="J54" s="220"/>
      <c r="K54" s="82">
        <f t="shared" si="11"/>
        <v>0</v>
      </c>
      <c r="L54" s="26">
        <f t="shared" si="12"/>
        <v>1.5</v>
      </c>
      <c r="M54" s="373" t="str">
        <f t="shared" si="13"/>
        <v xml:space="preserve"> </v>
      </c>
      <c r="N54" s="220"/>
      <c r="O54" s="27" t="str">
        <f t="shared" si="14"/>
        <v xml:space="preserve"> </v>
      </c>
      <c r="P54" s="384"/>
      <c r="Q54" s="237"/>
      <c r="R54" s="1"/>
      <c r="S54" s="1"/>
      <c r="T54" s="1"/>
      <c r="U54" s="1"/>
      <c r="V54" s="1"/>
      <c r="W54" s="1"/>
      <c r="X54" s="1"/>
      <c r="Y54" s="1"/>
      <c r="Z54" s="1"/>
      <c r="AA54" s="1"/>
      <c r="AB54" s="1"/>
    </row>
    <row r="55" spans="1:28" ht="12" customHeight="1">
      <c r="A55" s="24" t="str">
        <f>IF($D$10=0,"-",IF($D$9/$D$10=500,200,IF($D$9/$D$10&lt;=1000,200,IF($D$9/$D$10&lt;=2000,500,1000))))</f>
        <v>-</v>
      </c>
      <c r="B55" s="282" t="str">
        <f t="shared" si="15"/>
        <v xml:space="preserve"> </v>
      </c>
      <c r="C55" s="220"/>
      <c r="D55" s="38" t="str">
        <f t="shared" si="9"/>
        <v>-</v>
      </c>
      <c r="E55" s="283">
        <f>E51</f>
        <v>0</v>
      </c>
      <c r="F55" s="220"/>
      <c r="G55" s="321"/>
      <c r="H55" s="216"/>
      <c r="I55" s="270" t="str">
        <f t="shared" si="10"/>
        <v xml:space="preserve"> </v>
      </c>
      <c r="J55" s="220"/>
      <c r="K55" s="82">
        <f t="shared" si="11"/>
        <v>0</v>
      </c>
      <c r="L55" s="26">
        <f t="shared" si="12"/>
        <v>1.5</v>
      </c>
      <c r="M55" s="373" t="str">
        <f t="shared" si="13"/>
        <v xml:space="preserve"> </v>
      </c>
      <c r="N55" s="220"/>
      <c r="O55" s="27" t="str">
        <f t="shared" si="14"/>
        <v xml:space="preserve"> </v>
      </c>
      <c r="P55" s="384"/>
      <c r="Q55" s="237"/>
      <c r="R55" s="1"/>
      <c r="S55" s="1"/>
      <c r="T55" s="1"/>
      <c r="U55" s="1"/>
      <c r="V55" s="1"/>
      <c r="W55" s="1"/>
      <c r="X55" s="1"/>
      <c r="Y55" s="1"/>
      <c r="Z55" s="1"/>
      <c r="AA55" s="1"/>
      <c r="AB55" s="1"/>
    </row>
    <row r="56" spans="1:28" ht="12" customHeight="1">
      <c r="A56" s="24" t="str">
        <f>IF($D$10=0,"-",IF($D$9/$D$10=500,100,IF($D$9/$D$10&lt;=1000,100,IF($D$9/$D$10&lt;=2000,200,500))))</f>
        <v>-</v>
      </c>
      <c r="B56" s="282" t="str">
        <f t="shared" si="15"/>
        <v xml:space="preserve"> </v>
      </c>
      <c r="C56" s="220"/>
      <c r="D56" s="38" t="str">
        <f t="shared" si="9"/>
        <v>-</v>
      </c>
      <c r="E56" s="283">
        <f>E50</f>
        <v>0</v>
      </c>
      <c r="F56" s="220"/>
      <c r="G56" s="321"/>
      <c r="H56" s="216"/>
      <c r="I56" s="270" t="str">
        <f t="shared" si="10"/>
        <v xml:space="preserve"> </v>
      </c>
      <c r="J56" s="220"/>
      <c r="K56" s="82">
        <f t="shared" si="11"/>
        <v>0</v>
      </c>
      <c r="L56" s="26">
        <f t="shared" si="12"/>
        <v>1.5</v>
      </c>
      <c r="M56" s="373" t="str">
        <f t="shared" si="13"/>
        <v xml:space="preserve"> </v>
      </c>
      <c r="N56" s="220"/>
      <c r="O56" s="27" t="str">
        <f t="shared" si="14"/>
        <v xml:space="preserve"> </v>
      </c>
      <c r="P56" s="384"/>
      <c r="Q56" s="237"/>
      <c r="R56" s="1"/>
      <c r="S56" s="1"/>
      <c r="T56" s="1"/>
      <c r="U56" s="1"/>
      <c r="V56" s="1"/>
      <c r="W56" s="1"/>
      <c r="X56" s="1"/>
      <c r="Y56" s="1"/>
      <c r="Z56" s="1"/>
      <c r="AA56" s="1"/>
      <c r="AB56" s="1"/>
    </row>
    <row r="57" spans="1:28" ht="12" customHeight="1">
      <c r="A57" s="24">
        <v>20</v>
      </c>
      <c r="B57" s="282">
        <f>A57*$D$10</f>
        <v>0</v>
      </c>
      <c r="C57" s="220"/>
      <c r="D57" s="38" t="str">
        <f t="shared" si="9"/>
        <v>-</v>
      </c>
      <c r="E57" s="283">
        <f>E49</f>
        <v>0</v>
      </c>
      <c r="F57" s="220"/>
      <c r="G57" s="321"/>
      <c r="H57" s="216"/>
      <c r="I57" s="270" t="str">
        <f t="shared" si="10"/>
        <v xml:space="preserve"> </v>
      </c>
      <c r="J57" s="220"/>
      <c r="K57" s="82">
        <f t="shared" si="11"/>
        <v>0</v>
      </c>
      <c r="L57" s="26">
        <f t="shared" si="12"/>
        <v>1.5</v>
      </c>
      <c r="M57" s="373" t="str">
        <f t="shared" si="13"/>
        <v xml:space="preserve"> </v>
      </c>
      <c r="N57" s="220"/>
      <c r="O57" s="27" t="str">
        <f t="shared" si="14"/>
        <v xml:space="preserve"> </v>
      </c>
      <c r="P57" s="384"/>
      <c r="Q57" s="237"/>
      <c r="R57" s="1"/>
      <c r="S57" s="1"/>
      <c r="T57" s="1"/>
      <c r="U57" s="1"/>
      <c r="V57" s="1"/>
      <c r="W57" s="1"/>
      <c r="X57" s="1"/>
      <c r="Y57" s="1"/>
      <c r="Z57" s="1"/>
      <c r="AA57" s="1"/>
      <c r="AB57" s="1"/>
    </row>
    <row r="58" spans="1:28" ht="12" customHeight="1">
      <c r="A58" s="28"/>
      <c r="B58" s="31"/>
      <c r="C58" s="32"/>
      <c r="D58" s="1"/>
      <c r="E58" s="1"/>
      <c r="F58" s="1"/>
      <c r="G58" s="1"/>
      <c r="H58" s="1"/>
      <c r="I58" s="1"/>
      <c r="J58" s="1"/>
      <c r="K58" s="93"/>
      <c r="L58" s="93"/>
      <c r="M58" s="1"/>
      <c r="N58" s="3" t="str">
        <f>IF($D$14="English","Test passed?","Test bestanden?")</f>
        <v>Test passed?</v>
      </c>
      <c r="O58" s="27" t="str">
        <f>IF(AND(O49="Y",O50= "Y", O51="Y",O52="Y",O53="Y",O54="Y",O55="Y",O56="Y",O57="Y"),"Y","N")</f>
        <v>N</v>
      </c>
      <c r="P58" s="1"/>
      <c r="Q58" s="1"/>
      <c r="R58" s="1"/>
      <c r="S58" s="1"/>
      <c r="T58" s="1"/>
      <c r="U58" s="1"/>
      <c r="V58" s="1"/>
      <c r="W58" s="1"/>
      <c r="X58" s="1"/>
      <c r="Y58" s="1"/>
      <c r="Z58" s="1"/>
      <c r="AA58" s="1"/>
      <c r="AB58" s="1"/>
    </row>
    <row r="59" spans="1:28" ht="12" customHeight="1">
      <c r="A59" s="48"/>
      <c r="B59" s="31"/>
      <c r="C59" s="32"/>
      <c r="D59" s="1"/>
      <c r="E59" s="1"/>
      <c r="F59" s="1"/>
      <c r="G59" s="1"/>
      <c r="H59" s="1"/>
      <c r="I59" s="1"/>
      <c r="J59" s="1"/>
      <c r="M59" s="1"/>
      <c r="N59" s="1"/>
      <c r="O59" s="6"/>
      <c r="P59" s="125"/>
      <c r="Q59" s="1"/>
      <c r="R59" s="1"/>
      <c r="S59" s="1"/>
      <c r="T59" s="1"/>
      <c r="U59" s="1"/>
      <c r="V59" s="1"/>
      <c r="W59" s="1"/>
      <c r="X59" s="1"/>
      <c r="Y59" s="1"/>
      <c r="Z59" s="1"/>
      <c r="AA59" s="1"/>
      <c r="AB59" s="1"/>
    </row>
    <row r="60" spans="1:28" ht="12" customHeight="1">
      <c r="A60" s="47"/>
      <c r="B60" s="50"/>
      <c r="C60" s="50"/>
      <c r="D60" s="50"/>
      <c r="E60" s="50"/>
      <c r="F60" s="50"/>
      <c r="G60" s="50"/>
      <c r="H60" s="50"/>
      <c r="I60" s="50"/>
      <c r="J60" s="50"/>
      <c r="K60" s="50"/>
      <c r="L60" s="50"/>
      <c r="M60" s="50"/>
      <c r="N60" s="50"/>
      <c r="O60" s="50"/>
      <c r="P60" s="50"/>
      <c r="Q60" s="1"/>
      <c r="R60" s="1"/>
      <c r="S60" s="1"/>
      <c r="T60" s="1"/>
      <c r="U60" s="1"/>
      <c r="V60" s="1"/>
      <c r="W60" s="1"/>
      <c r="X60" s="1"/>
      <c r="Y60" s="1"/>
      <c r="Z60" s="1"/>
      <c r="AA60" s="1"/>
      <c r="AB60" s="1"/>
    </row>
    <row r="61" spans="1:28" ht="12" customHeight="1">
      <c r="A61" s="7" t="str">
        <f>IF($D$14="English","5.  Eccentricity Test (Indicator in hi-res mode)","5.  Prüfung bei Außermittiger Belastung (Indicator in hi-res mode)")</f>
        <v>5.  Eccentricity Test (Indicator in hi-res mode)</v>
      </c>
      <c r="B61" s="1"/>
      <c r="C61" s="6"/>
      <c r="D61" s="8"/>
      <c r="E61" s="8"/>
      <c r="F61" s="1"/>
      <c r="G61" s="1"/>
      <c r="H61" s="1" t="str">
        <f>IF($D$14="English","accordance to EN45501-2015, A.4.7","gemäß EN45501-2015, A.4.7")</f>
        <v>accordance to EN45501-2015, A.4.7</v>
      </c>
      <c r="I61" s="1"/>
      <c r="J61" s="1"/>
      <c r="K61" s="6"/>
      <c r="L61" s="6"/>
      <c r="M61" s="6"/>
      <c r="N61" s="1"/>
      <c r="O61" s="1"/>
      <c r="P61" s="1"/>
      <c r="Q61" s="1"/>
      <c r="R61" s="1"/>
      <c r="S61" s="1"/>
      <c r="T61" s="1"/>
      <c r="U61" s="1"/>
      <c r="V61" s="1"/>
      <c r="W61" s="1"/>
      <c r="X61" s="1"/>
      <c r="Y61" s="1"/>
      <c r="Z61" s="1"/>
      <c r="AA61" s="1"/>
      <c r="AB61" s="1"/>
    </row>
    <row r="62" spans="1:28" ht="15" customHeight="1">
      <c r="A62" s="7"/>
      <c r="B62" s="7" t="str">
        <f>IF($D$14="English","Load position","Belastungsort")</f>
        <v>Load position</v>
      </c>
      <c r="C62" s="1"/>
      <c r="D62" s="1"/>
      <c r="E62" s="1"/>
      <c r="F62" s="1"/>
      <c r="G62" s="1"/>
      <c r="H62" s="1"/>
      <c r="I62" s="1"/>
      <c r="J62" s="1"/>
      <c r="K62" s="1"/>
      <c r="L62" s="1"/>
      <c r="M62" s="1"/>
      <c r="N62" s="1"/>
      <c r="O62" s="1"/>
      <c r="P62" s="1"/>
      <c r="R62" s="1"/>
      <c r="S62" s="1"/>
      <c r="T62" s="1"/>
      <c r="U62" s="1"/>
      <c r="V62" s="1"/>
      <c r="W62" s="1"/>
      <c r="X62" s="1"/>
      <c r="Y62" s="1"/>
      <c r="Z62" s="1"/>
      <c r="AA62" s="1"/>
      <c r="AB62" s="1"/>
    </row>
    <row r="63" spans="1:28" ht="12" customHeight="1">
      <c r="A63" s="7"/>
      <c r="B63" s="55">
        <v>1</v>
      </c>
      <c r="C63" s="56"/>
      <c r="D63" s="57">
        <v>2</v>
      </c>
      <c r="E63" s="56"/>
      <c r="F63" s="57" t="str">
        <f>IF($G$66=4," ",3)</f>
        <v xml:space="preserve"> </v>
      </c>
      <c r="G63" s="56"/>
      <c r="H63" s="57" t="str">
        <f>IF(OR($G$66=4,$G$66=6)," ",4)</f>
        <v xml:space="preserve"> </v>
      </c>
      <c r="I63" s="56"/>
      <c r="J63" s="57" t="str">
        <f>IF(OR($G$66=4,$G$66=6,$G$66=8)," ",5)</f>
        <v xml:space="preserve"> </v>
      </c>
      <c r="K63" s="56"/>
      <c r="L63" s="57" t="str">
        <f>IF(OR($G$66=4,$G$66=6,$G$66=8,$G66=10)," ",6)</f>
        <v xml:space="preserve"> </v>
      </c>
      <c r="M63" s="56"/>
      <c r="O63" s="1"/>
      <c r="P63" s="1"/>
      <c r="Q63" s="23" t="s">
        <v>76</v>
      </c>
      <c r="R63" s="1"/>
      <c r="S63" s="1"/>
      <c r="T63" s="1"/>
      <c r="U63" s="1"/>
      <c r="V63" s="1"/>
      <c r="W63" s="1"/>
      <c r="X63" s="1"/>
      <c r="Y63" s="1"/>
      <c r="Z63" s="1"/>
      <c r="AA63" s="1"/>
      <c r="AB63" s="1"/>
    </row>
    <row r="64" spans="1:28" ht="12" customHeight="1">
      <c r="A64" s="7"/>
      <c r="B64" s="59"/>
      <c r="C64" s="60"/>
      <c r="D64" s="61"/>
      <c r="E64" s="60"/>
      <c r="F64" s="61"/>
      <c r="G64" s="60"/>
      <c r="H64" s="61"/>
      <c r="I64" s="60"/>
      <c r="J64" s="59"/>
      <c r="K64" s="60"/>
      <c r="L64" s="59"/>
      <c r="M64" s="60"/>
      <c r="N64" s="1"/>
      <c r="O64" s="1"/>
      <c r="P64" s="1"/>
      <c r="Q64" s="1"/>
      <c r="R64" s="1"/>
      <c r="S64" s="1"/>
      <c r="T64" s="1"/>
      <c r="U64" s="1"/>
      <c r="V64" s="1"/>
      <c r="W64" s="1"/>
      <c r="X64" s="1"/>
      <c r="Y64" s="1"/>
      <c r="Z64" s="1"/>
      <c r="AA64" s="1"/>
      <c r="AB64" s="1"/>
    </row>
    <row r="65" spans="1:28" ht="12" customHeight="1">
      <c r="A65" s="7"/>
      <c r="B65" s="1"/>
      <c r="C65" s="1"/>
      <c r="D65" s="1"/>
      <c r="E65" s="1"/>
      <c r="F65" s="1"/>
      <c r="G65" s="1"/>
      <c r="H65" s="1"/>
      <c r="I65" s="1"/>
      <c r="R65" s="1"/>
      <c r="S65" s="1"/>
      <c r="T65" s="1"/>
      <c r="U65" s="1"/>
      <c r="V65" s="1"/>
      <c r="W65" s="1"/>
      <c r="X65" s="1"/>
      <c r="Y65" s="1"/>
      <c r="Z65" s="1"/>
      <c r="AA65" s="1"/>
      <c r="AB65" s="1"/>
    </row>
    <row r="66" spans="1:28" ht="12" customHeight="1">
      <c r="A66" s="7"/>
      <c r="B66" s="1" t="str">
        <f>IF($D$14="English","number of load carrier","Anzahl Auflager")</f>
        <v>number of load carrier</v>
      </c>
      <c r="C66" s="1"/>
      <c r="F66" s="23" t="s">
        <v>76</v>
      </c>
      <c r="G66" s="171">
        <v>4</v>
      </c>
      <c r="H66" s="1"/>
      <c r="I66" s="1"/>
      <c r="R66" s="1"/>
      <c r="S66" s="1"/>
      <c r="T66" s="1"/>
      <c r="U66" s="1"/>
      <c r="V66" s="1"/>
      <c r="W66" s="1"/>
      <c r="X66" s="1"/>
      <c r="Y66" s="1"/>
      <c r="Z66" s="1"/>
      <c r="AA66" s="1"/>
      <c r="AB66" s="1"/>
    </row>
    <row r="67" spans="1:28" ht="12" customHeight="1">
      <c r="A67" s="7"/>
      <c r="B67" s="1"/>
      <c r="C67" s="1"/>
      <c r="D67" s="1"/>
      <c r="E67" s="1"/>
      <c r="F67" s="1"/>
      <c r="G67" s="1"/>
      <c r="H67" s="1"/>
      <c r="I67" s="1"/>
      <c r="J67" s="66"/>
      <c r="K67" s="1"/>
      <c r="L67" s="1"/>
      <c r="M67" s="1"/>
      <c r="N67" s="1"/>
      <c r="R67" s="1"/>
      <c r="S67" s="1"/>
      <c r="T67" s="1"/>
      <c r="U67" s="1"/>
      <c r="V67" s="1"/>
      <c r="W67" s="1"/>
      <c r="X67" s="1"/>
      <c r="Y67" s="1"/>
      <c r="Z67" s="1"/>
      <c r="AA67" s="1"/>
      <c r="AB67" s="1"/>
    </row>
    <row r="68" spans="1:28" ht="21.75" customHeight="1">
      <c r="A68" s="264" t="str">
        <f>IF($D$14="English","load must be about","ungefähre Last")</f>
        <v>load must be about</v>
      </c>
      <c r="B68" s="220"/>
      <c r="C68" s="67" t="s">
        <v>26</v>
      </c>
      <c r="D68" s="126"/>
      <c r="E68" s="68"/>
      <c r="F68" s="67" t="s">
        <v>27</v>
      </c>
      <c r="G68" s="68"/>
      <c r="H68" s="265" t="s">
        <v>28</v>
      </c>
      <c r="I68" s="220"/>
      <c r="J68" s="67" t="s">
        <v>29</v>
      </c>
      <c r="K68" s="68"/>
      <c r="L68" s="69" t="s">
        <v>30</v>
      </c>
      <c r="M68" s="65"/>
      <c r="N68" s="65"/>
      <c r="O68" s="34"/>
      <c r="P68" s="154"/>
      <c r="Q68" s="154"/>
      <c r="R68" s="65"/>
      <c r="S68" s="65"/>
      <c r="T68" s="65"/>
      <c r="U68" s="65"/>
      <c r="V68" s="65"/>
      <c r="W68" s="65"/>
      <c r="X68" s="65"/>
      <c r="Y68" s="65"/>
      <c r="Z68" s="65"/>
      <c r="AA68" s="65"/>
      <c r="AB68" s="65"/>
    </row>
    <row r="69" spans="1:28" ht="12" customHeight="1">
      <c r="A69" s="231" t="s">
        <v>33</v>
      </c>
      <c r="B69" s="220"/>
      <c r="C69" s="18" t="s">
        <v>32</v>
      </c>
      <c r="D69" s="20" t="s">
        <v>79</v>
      </c>
      <c r="E69" s="21" t="s">
        <v>33</v>
      </c>
      <c r="F69" s="18" t="s">
        <v>33</v>
      </c>
      <c r="G69" s="70"/>
      <c r="H69" s="231" t="s">
        <v>33</v>
      </c>
      <c r="I69" s="220"/>
      <c r="J69" s="19" t="s">
        <v>33</v>
      </c>
      <c r="K69" s="21" t="s">
        <v>32</v>
      </c>
      <c r="L69" s="19" t="s">
        <v>34</v>
      </c>
      <c r="M69" s="1"/>
      <c r="N69" s="1"/>
      <c r="P69" s="154"/>
      <c r="Q69" s="154"/>
      <c r="R69" s="1">
        <v>4</v>
      </c>
      <c r="S69" s="1"/>
      <c r="T69" s="1"/>
      <c r="U69" s="1"/>
      <c r="V69" s="1"/>
      <c r="W69" s="1"/>
      <c r="X69" s="1"/>
      <c r="Y69" s="1"/>
      <c r="Z69" s="1"/>
      <c r="AA69" s="1"/>
      <c r="AB69" s="1"/>
    </row>
    <row r="70" spans="1:28" ht="12" customHeight="1">
      <c r="A70" s="296">
        <f>ROUND($D$9/($G$66-1),-0.01)</f>
        <v>0</v>
      </c>
      <c r="B70" s="220"/>
      <c r="C70" s="11" t="str">
        <f>IF($D$10=0," ",E70/$D$10)</f>
        <v xml:space="preserve"> </v>
      </c>
      <c r="D70" s="20">
        <v>1</v>
      </c>
      <c r="E70" s="184"/>
      <c r="F70" s="271"/>
      <c r="G70" s="216"/>
      <c r="H70" s="268" t="str">
        <f t="shared" ref="H70:H75" si="16">IF(F70=0," ",(F70-E70))</f>
        <v xml:space="preserve"> </v>
      </c>
      <c r="I70" s="220"/>
      <c r="J70" s="90">
        <f t="shared" ref="J70:J75" si="17">PRODUCT($D$10,K70)</f>
        <v>0</v>
      </c>
      <c r="K70" s="26">
        <f t="shared" ref="K70:K75" si="18">IF(C70=" ",0,
IF($M$3="III", IF(C70&lt;=500,0.5,(IF(C70&lt;=2000,1,IF(C70&gt;2000,1.5," ")))),
IF($M$3="IV", IF(C70&lt;=50,0.5,(IF(C70&lt;=200,1,IF(C70&gt;200,1.5," "))))
)))</f>
        <v>0</v>
      </c>
      <c r="L70" s="27" t="str">
        <f t="shared" ref="L70:L75" si="19">IF(F70=0," ",IF(ABS(H70)&lt;=J70,"Y","N"))</f>
        <v xml:space="preserve"> </v>
      </c>
      <c r="M70" s="1"/>
      <c r="P70" s="154"/>
      <c r="Q70" s="154"/>
      <c r="R70" s="1">
        <v>6</v>
      </c>
      <c r="S70" s="1"/>
      <c r="T70" s="1"/>
      <c r="U70" s="1"/>
      <c r="V70" s="1"/>
      <c r="W70" s="1"/>
      <c r="X70" s="1"/>
      <c r="Y70" s="1"/>
      <c r="Z70" s="1"/>
      <c r="AA70" s="1"/>
      <c r="AB70" s="1"/>
    </row>
    <row r="71" spans="1:28" ht="12" customHeight="1">
      <c r="A71" s="296">
        <f>ROUND($D$9/($G$66-1),-0.01)</f>
        <v>0</v>
      </c>
      <c r="B71" s="220"/>
      <c r="C71" s="11" t="str">
        <f t="shared" ref="C71:C73" si="20">IF($D$10=0," ",IF(E71=" ",0,E71/$D$10))</f>
        <v xml:space="preserve"> </v>
      </c>
      <c r="D71" s="20">
        <v>2</v>
      </c>
      <c r="E71" s="102" t="str">
        <f t="shared" ref="E71:E73" si="21">IF($G$66&gt;1,IF($E$70=0," ",$E$70)," ")</f>
        <v xml:space="preserve"> </v>
      </c>
      <c r="F71" s="271"/>
      <c r="G71" s="216"/>
      <c r="H71" s="268" t="str">
        <f t="shared" si="16"/>
        <v xml:space="preserve"> </v>
      </c>
      <c r="I71" s="220"/>
      <c r="J71" s="90">
        <f t="shared" si="17"/>
        <v>0</v>
      </c>
      <c r="K71" s="26">
        <f t="shared" si="18"/>
        <v>0</v>
      </c>
      <c r="L71" s="27" t="str">
        <f t="shared" si="19"/>
        <v xml:space="preserve"> </v>
      </c>
      <c r="N71" s="73"/>
      <c r="P71" s="154"/>
      <c r="Q71" s="154"/>
      <c r="R71" s="1">
        <v>8</v>
      </c>
      <c r="S71" s="1"/>
      <c r="T71" s="1"/>
      <c r="U71" s="1"/>
      <c r="V71" s="1"/>
      <c r="W71" s="1"/>
      <c r="X71" s="1"/>
      <c r="Y71" s="1"/>
      <c r="Z71" s="1"/>
      <c r="AA71" s="1"/>
      <c r="AB71" s="1"/>
    </row>
    <row r="72" spans="1:28" ht="12" customHeight="1">
      <c r="A72" s="296" t="str">
        <f>IF(G66=4," ",ROUND($D$9/($G$66-1),-0.01))</f>
        <v xml:space="preserve"> </v>
      </c>
      <c r="B72" s="220"/>
      <c r="C72" s="11" t="str">
        <f t="shared" si="20"/>
        <v xml:space="preserve"> </v>
      </c>
      <c r="D72" s="20">
        <v>3</v>
      </c>
      <c r="E72" s="102" t="str">
        <f t="shared" si="21"/>
        <v xml:space="preserve"> </v>
      </c>
      <c r="F72" s="271"/>
      <c r="G72" s="216"/>
      <c r="H72" s="268" t="str">
        <f t="shared" si="16"/>
        <v xml:space="preserve"> </v>
      </c>
      <c r="I72" s="220"/>
      <c r="J72" s="90">
        <f t="shared" si="17"/>
        <v>0</v>
      </c>
      <c r="K72" s="26">
        <f t="shared" si="18"/>
        <v>0</v>
      </c>
      <c r="L72" s="27" t="str">
        <f t="shared" si="19"/>
        <v xml:space="preserve"> </v>
      </c>
      <c r="N72" s="73"/>
      <c r="P72" s="154"/>
      <c r="Q72" s="154"/>
      <c r="R72" s="1">
        <v>10</v>
      </c>
      <c r="S72" s="1"/>
      <c r="T72" s="1"/>
      <c r="U72" s="1"/>
      <c r="V72" s="1"/>
      <c r="W72" s="1"/>
      <c r="X72" s="1"/>
      <c r="Y72" s="1"/>
      <c r="Z72" s="1"/>
      <c r="AA72" s="1"/>
      <c r="AB72" s="1"/>
    </row>
    <row r="73" spans="1:28" ht="12" customHeight="1">
      <c r="A73" s="296" t="str">
        <f>IF(G66&lt;8," ",ROUND($D$9/($G$66-1),-0.01))</f>
        <v xml:space="preserve"> </v>
      </c>
      <c r="B73" s="220"/>
      <c r="C73" s="11" t="str">
        <f t="shared" si="20"/>
        <v xml:space="preserve"> </v>
      </c>
      <c r="D73" s="20">
        <v>4</v>
      </c>
      <c r="E73" s="102" t="str">
        <f t="shared" si="21"/>
        <v xml:space="preserve"> </v>
      </c>
      <c r="F73" s="271"/>
      <c r="G73" s="216"/>
      <c r="H73" s="268" t="str">
        <f t="shared" si="16"/>
        <v xml:space="preserve"> </v>
      </c>
      <c r="I73" s="220"/>
      <c r="J73" s="90">
        <f t="shared" si="17"/>
        <v>0</v>
      </c>
      <c r="K73" s="26">
        <f t="shared" si="18"/>
        <v>0</v>
      </c>
      <c r="L73" s="27" t="str">
        <f t="shared" si="19"/>
        <v xml:space="preserve"> </v>
      </c>
      <c r="N73" s="73"/>
      <c r="P73" s="154"/>
      <c r="Q73" s="154"/>
      <c r="R73" s="1">
        <v>12</v>
      </c>
      <c r="S73" s="1"/>
      <c r="T73" s="1"/>
      <c r="U73" s="1"/>
      <c r="V73" s="1"/>
      <c r="W73" s="1"/>
      <c r="X73" s="1"/>
      <c r="Y73" s="1"/>
      <c r="Z73" s="1"/>
      <c r="AA73" s="1"/>
      <c r="AB73" s="1"/>
    </row>
    <row r="74" spans="1:28" ht="12" customHeight="1">
      <c r="A74" s="296" t="str">
        <f>IF(G66&lt;10," ",ROUND($D$9/($G$66-1),-0.01))</f>
        <v xml:space="preserve"> </v>
      </c>
      <c r="B74" s="220"/>
      <c r="C74" s="11" t="str">
        <f t="shared" ref="C74:C75" si="22">IF($D$10=0," ",IF(E74=" "," ",E74/$D$10))</f>
        <v xml:space="preserve"> </v>
      </c>
      <c r="D74" s="20">
        <v>5</v>
      </c>
      <c r="E74" s="102" t="str">
        <f t="shared" ref="E74:E75" si="23">IF($G$66&gt;4,IF($E$70=0," ",$E$70)," ")</f>
        <v xml:space="preserve"> </v>
      </c>
      <c r="F74" s="271"/>
      <c r="G74" s="216"/>
      <c r="H74" s="268" t="str">
        <f t="shared" si="16"/>
        <v xml:space="preserve"> </v>
      </c>
      <c r="I74" s="220"/>
      <c r="J74" s="90">
        <f t="shared" si="17"/>
        <v>0</v>
      </c>
      <c r="K74" s="26">
        <f t="shared" si="18"/>
        <v>0</v>
      </c>
      <c r="L74" s="27" t="str">
        <f t="shared" si="19"/>
        <v xml:space="preserve"> </v>
      </c>
      <c r="N74" s="73"/>
      <c r="P74" s="154"/>
      <c r="Q74" s="154"/>
      <c r="R74" s="1"/>
      <c r="S74" s="1"/>
      <c r="T74" s="1"/>
      <c r="U74" s="1"/>
      <c r="V74" s="1"/>
      <c r="W74" s="1"/>
      <c r="X74" s="1"/>
      <c r="Y74" s="1"/>
      <c r="Z74" s="1"/>
      <c r="AA74" s="1"/>
      <c r="AB74" s="1"/>
    </row>
    <row r="75" spans="1:28" ht="12" customHeight="1">
      <c r="A75" s="296" t="str">
        <f>IF(G66&lt;12," ",ROUND($D$9/($G$66-1),-0.01))</f>
        <v xml:space="preserve"> </v>
      </c>
      <c r="B75" s="220"/>
      <c r="C75" s="11" t="str">
        <f t="shared" si="22"/>
        <v xml:space="preserve"> </v>
      </c>
      <c r="D75" s="20">
        <v>6</v>
      </c>
      <c r="E75" s="102" t="str">
        <f t="shared" si="23"/>
        <v xml:space="preserve"> </v>
      </c>
      <c r="F75" s="271"/>
      <c r="G75" s="216"/>
      <c r="H75" s="268" t="str">
        <f t="shared" si="16"/>
        <v xml:space="preserve"> </v>
      </c>
      <c r="I75" s="220"/>
      <c r="J75" s="90">
        <f t="shared" si="17"/>
        <v>0</v>
      </c>
      <c r="K75" s="26">
        <f t="shared" si="18"/>
        <v>0</v>
      </c>
      <c r="L75" s="27" t="str">
        <f t="shared" si="19"/>
        <v xml:space="preserve"> </v>
      </c>
      <c r="N75" s="73"/>
      <c r="P75" s="154"/>
      <c r="Q75" s="154"/>
      <c r="R75" s="1"/>
      <c r="S75" s="1"/>
      <c r="T75" s="1"/>
      <c r="U75" s="1"/>
      <c r="V75" s="1"/>
      <c r="W75" s="1"/>
      <c r="X75" s="1"/>
      <c r="Y75" s="1"/>
      <c r="Z75" s="1"/>
      <c r="AA75" s="1"/>
      <c r="AB75" s="1"/>
    </row>
    <row r="76" spans="1:28" ht="12" customHeight="1">
      <c r="A76" s="1"/>
      <c r="B76" s="1"/>
      <c r="C76" s="1"/>
      <c r="D76" s="1"/>
      <c r="E76" s="1"/>
      <c r="F76" s="262"/>
      <c r="G76" s="237"/>
      <c r="H76" s="31"/>
      <c r="I76" s="1"/>
      <c r="J76" s="17"/>
      <c r="K76" s="6" t="str">
        <f>IF($D$14="English","Test passed?","Test bestanden?")</f>
        <v>Test passed?</v>
      </c>
      <c r="L76" s="27" t="str">
        <f>IF($G$66=4,IF(AND(L70="Y",L71="Y"),"Y","N"),IF($G$66=6,IF(AND(L70="Y",L71="Y",L72="Y"),"Y","N"),IF($G$66=8,IF(AND(L70="Y",L71="Y",L72="Y",L73="Y"),"Y","N"),IF($G$66=10,IF(AND(L70="Y",L71="Y",L72="Y",L73="Y",L74="Y"),"Y","N"),IF($G$66=12,IF(AND(L70="Y",L71="Y",L72="Y",L73="Y",L74="Y",L75="Y"),"Y","N"),"N")))))</f>
        <v>N</v>
      </c>
      <c r="R76" s="1"/>
      <c r="S76" s="1"/>
      <c r="T76" s="1"/>
      <c r="U76" s="1"/>
      <c r="V76" s="1"/>
      <c r="W76" s="1"/>
      <c r="X76" s="1"/>
      <c r="Y76" s="1"/>
      <c r="Z76" s="1"/>
      <c r="AA76" s="1"/>
      <c r="AB76" s="1"/>
    </row>
    <row r="77" spans="1:28" ht="2.25" customHeight="1">
      <c r="A77" s="1"/>
      <c r="B77" s="1"/>
      <c r="C77" s="1"/>
      <c r="D77" s="1"/>
      <c r="E77" s="1"/>
      <c r="F77" s="43"/>
      <c r="G77" s="43"/>
      <c r="H77" s="31"/>
      <c r="I77" s="1"/>
      <c r="J77" s="17"/>
      <c r="K77" s="6"/>
      <c r="L77" s="17"/>
      <c r="R77" s="1"/>
      <c r="S77" s="1"/>
      <c r="T77" s="1"/>
      <c r="U77" s="1"/>
      <c r="V77" s="1"/>
      <c r="W77" s="1"/>
      <c r="X77" s="1"/>
      <c r="Y77" s="1"/>
      <c r="Z77" s="1"/>
      <c r="AA77" s="1"/>
      <c r="AB77" s="1"/>
    </row>
    <row r="78" spans="1:28" ht="12"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2.75" customHeight="1">
      <c r="A79" s="7" t="str">
        <f>IF($D$14="English","6. Vehicle Tilting Test (Indicator in hi-res mode)","6.  Test unter Schrägstellung (Indicator in hi-res mode)")</f>
        <v>6. Vehicle Tilting Test (Indicator in hi-res mode)</v>
      </c>
      <c r="B79" s="1"/>
      <c r="C79" s="6"/>
      <c r="D79" s="8"/>
      <c r="E79" s="8"/>
      <c r="F79" s="1"/>
      <c r="G79" s="1"/>
      <c r="H79" s="1" t="str">
        <f>IF($D$14="English","accordance to EN45501-2015, A.5.1","gemäß EN45501-2015, A.5.1")</f>
        <v>accordance to EN45501-2015, A.5.1</v>
      </c>
      <c r="I79" s="75"/>
      <c r="J79" s="41"/>
      <c r="K79" s="41"/>
      <c r="L79" s="73"/>
      <c r="M79" s="73"/>
      <c r="N79" s="1"/>
      <c r="O79" s="1"/>
      <c r="P79" s="1"/>
      <c r="Q79" s="1"/>
      <c r="R79" s="1"/>
      <c r="S79" s="1"/>
      <c r="T79" s="1"/>
      <c r="U79" s="1"/>
      <c r="V79" s="1"/>
      <c r="W79" s="1"/>
      <c r="X79" s="1"/>
      <c r="Y79" s="1"/>
      <c r="Z79" s="1"/>
      <c r="AA79" s="1"/>
      <c r="AB79" s="1"/>
    </row>
    <row r="80" spans="1:28" ht="12.75" customHeight="1">
      <c r="A80" s="1" t="s">
        <v>128</v>
      </c>
      <c r="B80" s="1"/>
      <c r="C80" s="6"/>
      <c r="D80" s="8"/>
      <c r="E80" s="8"/>
      <c r="F80" s="1"/>
      <c r="G80" s="41"/>
      <c r="H80" s="75"/>
      <c r="I80" s="75"/>
      <c r="J80" s="41"/>
      <c r="K80" s="41"/>
      <c r="L80" s="73"/>
      <c r="M80" s="73"/>
      <c r="N80" s="1"/>
      <c r="O80" s="1"/>
      <c r="P80" s="1"/>
      <c r="Q80" s="1"/>
      <c r="R80" s="1"/>
      <c r="S80" s="1"/>
      <c r="T80" s="1"/>
      <c r="U80" s="1"/>
      <c r="V80" s="1"/>
      <c r="W80" s="1"/>
      <c r="X80" s="1"/>
      <c r="Y80" s="1"/>
      <c r="Z80" s="1"/>
      <c r="AA80" s="1"/>
      <c r="AB80" s="1"/>
    </row>
    <row r="81" spans="1:28" ht="12.75" customHeight="1">
      <c r="A81" s="1"/>
      <c r="B81" s="1"/>
      <c r="C81" s="6"/>
      <c r="D81" s="8"/>
      <c r="E81" s="8"/>
      <c r="F81" s="1"/>
      <c r="G81" s="41"/>
      <c r="H81" s="75"/>
      <c r="I81" s="75"/>
      <c r="J81" s="41"/>
      <c r="K81" s="41"/>
      <c r="L81" s="73"/>
      <c r="M81" s="73"/>
      <c r="N81" s="1"/>
      <c r="O81" s="1"/>
      <c r="P81" s="1"/>
      <c r="Q81" s="1"/>
      <c r="R81" s="1"/>
      <c r="S81" s="1"/>
      <c r="T81" s="1"/>
      <c r="U81" s="1"/>
      <c r="V81" s="1"/>
      <c r="W81" s="1"/>
      <c r="X81" s="1"/>
      <c r="Y81" s="1"/>
      <c r="Z81" s="1"/>
      <c r="AA81" s="1"/>
      <c r="AB81" s="1"/>
    </row>
    <row r="82" spans="1:28" ht="12" customHeight="1">
      <c r="A82" s="7" t="str">
        <f>IF($D$14="English","Test load","Prüflast mindestens")</f>
        <v>Test load</v>
      </c>
      <c r="B82" s="1"/>
      <c r="C82" s="1"/>
      <c r="D82" s="188"/>
      <c r="E82" s="7" t="s">
        <v>11</v>
      </c>
      <c r="F82" s="1"/>
      <c r="G82" s="119" t="str">
        <f>IF($D$14="English","[e]:","[e]:")</f>
        <v>[e]:</v>
      </c>
      <c r="H82" s="7" t="str">
        <f>IF(OR($D$10=0,$D$82=0)," ",$D$82/$D$10)</f>
        <v xml:space="preserve"> </v>
      </c>
      <c r="I82" s="1"/>
      <c r="J82" s="41"/>
      <c r="K82" s="1"/>
      <c r="L82" s="157" t="str">
        <f>IF($D$14="English","Test load/ Max Load:","Test load/ Max Load:")</f>
        <v>Test load/ Max Load:</v>
      </c>
      <c r="M82" s="73" t="str">
        <f>IF($D$82="","",$D$82/$D$9)</f>
        <v/>
      </c>
      <c r="N82" s="1"/>
      <c r="O82" s="1"/>
      <c r="P82" s="1"/>
      <c r="Q82" s="1"/>
      <c r="R82" s="1"/>
      <c r="S82" s="1"/>
      <c r="T82" s="1"/>
      <c r="U82" s="1"/>
      <c r="V82" s="1"/>
      <c r="W82" s="1"/>
      <c r="X82" s="1"/>
      <c r="Y82" s="1"/>
      <c r="Z82" s="1"/>
      <c r="AA82" s="1"/>
      <c r="AB82" s="1"/>
    </row>
    <row r="83" spans="1:28" ht="12.75" customHeight="1">
      <c r="A83" s="158"/>
      <c r="B83" s="158"/>
      <c r="C83" s="158"/>
      <c r="D83" s="158"/>
      <c r="E83" s="158"/>
      <c r="F83" s="158"/>
      <c r="G83" s="158"/>
      <c r="H83" s="158"/>
      <c r="I83" s="158"/>
      <c r="J83" s="158"/>
      <c r="K83" s="158"/>
      <c r="L83" s="158"/>
      <c r="M83" s="7"/>
      <c r="N83" s="7"/>
      <c r="O83" s="1"/>
      <c r="P83" s="1"/>
      <c r="Q83" s="1"/>
      <c r="R83" s="1"/>
      <c r="S83" s="1"/>
      <c r="T83" s="1"/>
      <c r="U83" s="1"/>
      <c r="V83" s="1"/>
      <c r="W83" s="1"/>
      <c r="X83" s="1"/>
      <c r="Y83" s="1"/>
      <c r="Z83" s="1"/>
      <c r="AA83" s="1"/>
      <c r="AB83" s="1"/>
    </row>
    <row r="84" spans="1:28" ht="12.75" customHeight="1">
      <c r="A84" s="381" t="str">
        <f>IF($D$14="English","Tilted position","Bezugslage")</f>
        <v>Tilted position</v>
      </c>
      <c r="B84" s="223"/>
      <c r="C84" s="223"/>
      <c r="D84" s="220"/>
      <c r="E84" s="159" t="s">
        <v>138</v>
      </c>
      <c r="F84" s="361" t="s">
        <v>26</v>
      </c>
      <c r="G84" s="223"/>
      <c r="H84" s="220"/>
      <c r="I84" s="361" t="s">
        <v>27</v>
      </c>
      <c r="J84" s="220"/>
      <c r="K84" s="361" t="s">
        <v>97</v>
      </c>
      <c r="L84" s="220"/>
      <c r="M84" s="231" t="s">
        <v>29</v>
      </c>
      <c r="N84" s="220"/>
      <c r="O84" s="231" t="s">
        <v>30</v>
      </c>
      <c r="P84" s="220"/>
      <c r="Q84" s="1"/>
      <c r="R84" s="1"/>
      <c r="S84" s="1"/>
      <c r="T84" s="1"/>
      <c r="U84" s="1"/>
      <c r="V84" s="1"/>
      <c r="W84" s="1"/>
      <c r="X84" s="1"/>
      <c r="Y84" s="1"/>
      <c r="Z84" s="1"/>
      <c r="AA84" s="1"/>
      <c r="AB84" s="1"/>
    </row>
    <row r="85" spans="1:28" ht="12" customHeight="1">
      <c r="A85" s="381"/>
      <c r="B85" s="223"/>
      <c r="C85" s="223"/>
      <c r="D85" s="220"/>
      <c r="E85" s="19" t="s">
        <v>139</v>
      </c>
      <c r="F85" s="19" t="s">
        <v>32</v>
      </c>
      <c r="G85" s="239" t="s">
        <v>33</v>
      </c>
      <c r="H85" s="220"/>
      <c r="I85" s="231" t="s">
        <v>33</v>
      </c>
      <c r="J85" s="220"/>
      <c r="K85" s="231" t="s">
        <v>33</v>
      </c>
      <c r="L85" s="220"/>
      <c r="M85" s="19" t="s">
        <v>33</v>
      </c>
      <c r="N85" s="145" t="s">
        <v>32</v>
      </c>
      <c r="O85" s="231" t="s">
        <v>34</v>
      </c>
      <c r="P85" s="220"/>
      <c r="Q85" s="1"/>
      <c r="R85" s="1"/>
      <c r="S85" s="1"/>
      <c r="T85" s="1"/>
      <c r="U85" s="1"/>
      <c r="V85" s="1"/>
      <c r="W85" s="1"/>
      <c r="X85" s="1"/>
      <c r="Y85" s="1"/>
      <c r="Z85" s="1"/>
      <c r="AA85" s="1"/>
      <c r="AB85" s="1"/>
    </row>
    <row r="86" spans="1:28" ht="27" customHeight="1">
      <c r="A86" s="382"/>
      <c r="B86" s="324"/>
      <c r="C86" s="382" t="s">
        <v>140</v>
      </c>
      <c r="D86" s="324"/>
      <c r="E86" s="160" t="s">
        <v>141</v>
      </c>
      <c r="F86" s="161" t="str">
        <f t="shared" ref="F86:F90" si="24">IF($D$10=0," ",G86/$D$10)</f>
        <v xml:space="preserve"> </v>
      </c>
      <c r="G86" s="379">
        <f t="shared" ref="G86:G90" si="25">$D$82</f>
        <v>0</v>
      </c>
      <c r="H86" s="220"/>
      <c r="I86" s="378"/>
      <c r="J86" s="216"/>
      <c r="K86" s="379" t="str">
        <f t="shared" ref="K86:K90" si="26">IF(I86="","",ABS(I86-G86))</f>
        <v/>
      </c>
      <c r="L86" s="220"/>
      <c r="M86" s="162">
        <f t="shared" ref="M86:M90" si="27">N86*$D$10</f>
        <v>0</v>
      </c>
      <c r="N86" s="162">
        <f>IF($H$82=" ",0,
IF($M$3="III", (IF($H$82&lt;=500,0.5,(IF($H$82&lt;=2000,1,IF($H$82&gt;2000,1.5," ")))))*$M$82,
IF($M$3="IV", (IF($H$82&lt;=50,0.5,(IF($H$82&lt;=200,1,IF($H$82&gt;200,1.5," ")))))*$M$82
)))</f>
        <v>0</v>
      </c>
      <c r="O86" s="380" t="str">
        <f t="shared" ref="O86:O90" si="28">IF(AND(K86&lt;=M86,K86&lt;=M86),"Y","N")</f>
        <v>N</v>
      </c>
      <c r="P86" s="220"/>
      <c r="Q86" s="1"/>
      <c r="R86" s="1"/>
      <c r="S86" s="1"/>
      <c r="T86" s="1"/>
      <c r="U86" s="1"/>
      <c r="V86" s="1"/>
      <c r="W86" s="1"/>
      <c r="X86" s="1"/>
      <c r="Y86" s="1"/>
      <c r="Z86" s="1"/>
      <c r="AA86" s="1"/>
      <c r="AB86" s="1"/>
    </row>
    <row r="87" spans="1:28" ht="27" customHeight="1">
      <c r="A87" s="382"/>
      <c r="B87" s="324"/>
      <c r="C87" s="382" t="s">
        <v>142</v>
      </c>
      <c r="D87" s="324"/>
      <c r="E87" s="160" t="s">
        <v>141</v>
      </c>
      <c r="F87" s="161" t="str">
        <f t="shared" si="24"/>
        <v xml:space="preserve"> </v>
      </c>
      <c r="G87" s="379">
        <f t="shared" si="25"/>
        <v>0</v>
      </c>
      <c r="H87" s="220"/>
      <c r="I87" s="378"/>
      <c r="J87" s="216"/>
      <c r="K87" s="379" t="str">
        <f t="shared" si="26"/>
        <v/>
      </c>
      <c r="L87" s="220"/>
      <c r="M87" s="162">
        <f t="shared" si="27"/>
        <v>0</v>
      </c>
      <c r="N87" s="162">
        <f>IF($H$82=" ",0,
IF($M$3="III", (IF($H$82&lt;=500,0.5,(IF($H$82&lt;=2000,1,IF($H$82&gt;2000,1.5," ")))))*$M$82,
IF($M$3="IV", (IF($H$82&lt;=50,0.5,(IF($H$82&lt;=200,1,IF($H$82&gt;200,1.5," ")))))*$M$82
)))</f>
        <v>0</v>
      </c>
      <c r="O87" s="380" t="str">
        <f t="shared" si="28"/>
        <v>N</v>
      </c>
      <c r="P87" s="220"/>
      <c r="Q87" s="1"/>
      <c r="R87" s="1"/>
      <c r="S87" s="1"/>
      <c r="T87" s="1"/>
      <c r="U87" s="1"/>
      <c r="V87" s="1"/>
      <c r="W87" s="1"/>
      <c r="X87" s="1"/>
      <c r="Y87" s="1"/>
      <c r="Z87" s="1"/>
      <c r="AA87" s="1"/>
      <c r="AB87" s="1"/>
    </row>
    <row r="88" spans="1:28" ht="27" customHeight="1">
      <c r="A88" s="382"/>
      <c r="B88" s="324"/>
      <c r="C88" s="382" t="s">
        <v>143</v>
      </c>
      <c r="D88" s="324"/>
      <c r="E88" s="160" t="s">
        <v>141</v>
      </c>
      <c r="F88" s="161" t="str">
        <f t="shared" si="24"/>
        <v xml:space="preserve"> </v>
      </c>
      <c r="G88" s="379">
        <f t="shared" si="25"/>
        <v>0</v>
      </c>
      <c r="H88" s="220"/>
      <c r="I88" s="378"/>
      <c r="J88" s="216"/>
      <c r="K88" s="379" t="str">
        <f t="shared" si="26"/>
        <v/>
      </c>
      <c r="L88" s="220"/>
      <c r="M88" s="162">
        <f t="shared" si="27"/>
        <v>0</v>
      </c>
      <c r="N88" s="162">
        <f>IF($H$82=" ",0,
IF($M$3="III", (IF($H$82&lt;=500,0.5,(IF($H$82&lt;=2000,1,IF($H$82&gt;2000,1.5," ")))))*$M$82,
IF($M$3="IV", (IF($H$82&lt;=50,0.5,(IF($H$82&lt;=200,1,IF($H$82&gt;200,1.5," ")))))*$M$82
)))</f>
        <v>0</v>
      </c>
      <c r="O88" s="380" t="str">
        <f t="shared" si="28"/>
        <v>N</v>
      </c>
      <c r="P88" s="220"/>
      <c r="Q88" s="1"/>
      <c r="R88" s="1"/>
      <c r="S88" s="1"/>
      <c r="T88" s="1"/>
      <c r="U88" s="1"/>
      <c r="V88" s="1"/>
      <c r="W88" s="1"/>
      <c r="X88" s="1"/>
      <c r="Y88" s="1"/>
      <c r="Z88" s="1"/>
      <c r="AA88" s="1"/>
      <c r="AB88" s="1"/>
    </row>
    <row r="89" spans="1:28" ht="27" customHeight="1">
      <c r="A89" s="383"/>
      <c r="B89" s="369"/>
      <c r="C89" s="383" t="s">
        <v>144</v>
      </c>
      <c r="D89" s="369"/>
      <c r="E89" s="160" t="s">
        <v>141</v>
      </c>
      <c r="F89" s="161" t="str">
        <f t="shared" si="24"/>
        <v xml:space="preserve"> </v>
      </c>
      <c r="G89" s="379">
        <f t="shared" si="25"/>
        <v>0</v>
      </c>
      <c r="H89" s="220"/>
      <c r="I89" s="378"/>
      <c r="J89" s="216"/>
      <c r="K89" s="379" t="str">
        <f t="shared" si="26"/>
        <v/>
      </c>
      <c r="L89" s="220"/>
      <c r="M89" s="162">
        <f t="shared" si="27"/>
        <v>0</v>
      </c>
      <c r="N89" s="162">
        <f>IF($H$82=" ",0,
IF($M$3="III", (IF($H$82&lt;=500,0.5,(IF($H$82&lt;=2000,1,IF($H$82&gt;2000,1.5," ")))))*$M$82,
IF($M$3="IV", (IF($H$82&lt;=50,0.5,(IF($H$82&lt;=200,1,IF($H$82&gt;200,1.5," ")))))*$M$82
)))</f>
        <v>0</v>
      </c>
      <c r="O89" s="380" t="str">
        <f t="shared" si="28"/>
        <v>N</v>
      </c>
      <c r="P89" s="220"/>
      <c r="Q89" s="1"/>
      <c r="R89" s="1"/>
      <c r="S89" s="1"/>
      <c r="T89" s="1"/>
      <c r="U89" s="1"/>
      <c r="V89" s="1"/>
      <c r="W89" s="1"/>
      <c r="X89" s="1"/>
      <c r="Y89" s="1"/>
      <c r="Z89" s="1"/>
      <c r="AA89" s="1"/>
      <c r="AB89" s="1"/>
    </row>
    <row r="90" spans="1:28" ht="27" customHeight="1">
      <c r="A90" s="379"/>
      <c r="B90" s="220"/>
      <c r="C90" s="379" t="s">
        <v>145</v>
      </c>
      <c r="D90" s="220"/>
      <c r="E90" s="163" t="s">
        <v>141</v>
      </c>
      <c r="F90" s="161" t="str">
        <f t="shared" si="24"/>
        <v xml:space="preserve"> </v>
      </c>
      <c r="G90" s="379">
        <f t="shared" si="25"/>
        <v>0</v>
      </c>
      <c r="H90" s="220"/>
      <c r="I90" s="378"/>
      <c r="J90" s="216"/>
      <c r="K90" s="379" t="str">
        <f t="shared" si="26"/>
        <v/>
      </c>
      <c r="L90" s="220"/>
      <c r="M90" s="162">
        <f t="shared" si="27"/>
        <v>0</v>
      </c>
      <c r="N90" s="162">
        <f>IF($H$82=" ",0,
IF($M$3="III", (IF($H$82&lt;=500,0.5,(IF($H$82&lt;=2000,1,IF($H$82&gt;2000,1.5," ")))))*$M$82,
IF($M$3="IV", (IF($H$82&lt;=50,0.5,(IF($H$82&lt;=200,1,IF($H$82&gt;200,1.5," ")))))*$M$82
)))</f>
        <v>0</v>
      </c>
      <c r="O90" s="380" t="str">
        <f t="shared" si="28"/>
        <v>N</v>
      </c>
      <c r="P90" s="220"/>
      <c r="Q90" s="1"/>
      <c r="R90" s="1"/>
      <c r="S90" s="1"/>
      <c r="T90" s="1"/>
      <c r="U90" s="1"/>
      <c r="V90" s="1"/>
      <c r="W90" s="1"/>
      <c r="X90" s="1"/>
      <c r="Y90" s="1"/>
      <c r="Z90" s="1"/>
      <c r="AA90" s="1"/>
      <c r="AB90" s="1"/>
    </row>
    <row r="91" spans="1:28" ht="12.75" customHeight="1">
      <c r="A91" s="133"/>
      <c r="B91" s="133"/>
      <c r="C91" s="164"/>
      <c r="D91" s="164"/>
      <c r="E91" s="30"/>
      <c r="F91" s="28"/>
      <c r="G91" s="28"/>
      <c r="H91" s="28"/>
      <c r="I91" s="28"/>
      <c r="J91" s="28"/>
      <c r="K91" s="1"/>
      <c r="L91" s="1" t="s">
        <v>135</v>
      </c>
      <c r="M91" s="1"/>
      <c r="N91" s="1"/>
      <c r="O91" s="222" t="str">
        <f>IF(AND(O86="Y",O87="Y",O88="Y",O89="Y",O90="Y"),"Y","N")</f>
        <v>N</v>
      </c>
      <c r="P91" s="220"/>
      <c r="Q91" s="1"/>
      <c r="R91" s="1"/>
      <c r="S91" s="1"/>
      <c r="T91" s="1"/>
      <c r="U91" s="1"/>
      <c r="V91" s="1"/>
      <c r="W91" s="1"/>
      <c r="X91" s="1"/>
      <c r="Y91" s="1"/>
      <c r="Z91" s="1"/>
      <c r="AA91" s="1"/>
      <c r="AB91" s="1"/>
    </row>
    <row r="92" spans="1:28" ht="12.75" customHeight="1">
      <c r="A92" s="133"/>
      <c r="B92" s="133"/>
      <c r="C92" s="164"/>
      <c r="D92" s="164"/>
      <c r="E92" s="30"/>
      <c r="F92" s="28"/>
      <c r="G92" s="28"/>
      <c r="H92" s="28"/>
      <c r="I92" s="28"/>
      <c r="J92" s="28"/>
      <c r="K92" s="1"/>
      <c r="L92" s="1"/>
      <c r="M92" s="1"/>
      <c r="N92" s="1"/>
      <c r="O92" s="1"/>
      <c r="P92" s="1"/>
      <c r="Q92" s="1"/>
      <c r="R92" s="1"/>
      <c r="S92" s="1"/>
      <c r="T92" s="1"/>
      <c r="U92" s="1"/>
      <c r="V92" s="1"/>
      <c r="W92" s="1"/>
      <c r="X92" s="1"/>
      <c r="Y92" s="1"/>
      <c r="Z92" s="1"/>
      <c r="AA92" s="1"/>
      <c r="AB92" s="1"/>
    </row>
    <row r="93" spans="1:28" ht="12.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2.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2.75" customHeight="1">
      <c r="A95" s="7" t="str">
        <f>IF($D$14="English","7.  Earth Gravity","7. Fallbeschleunigung")</f>
        <v>7.  Earth Gravity</v>
      </c>
      <c r="B95" s="46"/>
      <c r="C95" s="74"/>
      <c r="D95" s="74"/>
      <c r="E95" s="41"/>
      <c r="F95" s="41"/>
      <c r="G95" s="41"/>
      <c r="H95" s="75"/>
      <c r="I95" s="75"/>
      <c r="J95" s="41"/>
      <c r="K95" s="41"/>
      <c r="L95" s="73"/>
      <c r="M95" s="73"/>
      <c r="N95" s="42"/>
      <c r="O95" s="42"/>
      <c r="P95" s="28"/>
      <c r="Q95" s="1"/>
      <c r="R95" s="1"/>
      <c r="S95" s="1"/>
      <c r="T95" s="1"/>
      <c r="U95" s="1"/>
      <c r="V95" s="1"/>
      <c r="W95" s="1"/>
      <c r="X95" s="1"/>
      <c r="Y95" s="1"/>
      <c r="Z95" s="1"/>
      <c r="AA95" s="1"/>
      <c r="AB95" s="1"/>
    </row>
    <row r="96" spans="1:28" ht="12.75" customHeight="1">
      <c r="A96" s="7" t="str">
        <f>IF($D$14="English","Verification for: g=","Prüfung für: g=")</f>
        <v>Verification for: g=</v>
      </c>
      <c r="B96" s="46"/>
      <c r="C96" s="74"/>
      <c r="D96" s="260"/>
      <c r="E96" s="216"/>
      <c r="F96" s="41"/>
      <c r="G96" s="41"/>
      <c r="H96" s="176" t="s">
        <v>80</v>
      </c>
      <c r="I96" s="7" t="str">
        <f>IF($D$14="English","Not required","vernachlässigbar")</f>
        <v>Not required</v>
      </c>
      <c r="J96" s="41"/>
      <c r="K96" s="41"/>
      <c r="L96" s="73"/>
      <c r="M96" s="73"/>
      <c r="N96" s="1"/>
      <c r="O96" s="1"/>
      <c r="P96" s="1"/>
      <c r="Q96" s="1"/>
      <c r="R96" s="1"/>
      <c r="S96" s="1"/>
      <c r="T96" s="1"/>
      <c r="U96" s="1"/>
      <c r="V96" s="1"/>
      <c r="W96" s="1"/>
      <c r="X96" s="1"/>
      <c r="Y96" s="1"/>
      <c r="Z96" s="1"/>
      <c r="AA96" s="1"/>
      <c r="AB96" s="1"/>
    </row>
    <row r="97" spans="1:28" ht="12.75" customHeight="1">
      <c r="A97" s="45"/>
      <c r="B97" s="46"/>
      <c r="C97" s="74"/>
      <c r="D97" s="260"/>
      <c r="E97" s="216"/>
      <c r="F97" s="41"/>
      <c r="G97" s="41"/>
      <c r="H97" s="75"/>
      <c r="I97" s="75"/>
      <c r="J97" s="41"/>
      <c r="K97" s="41"/>
      <c r="L97" s="73"/>
      <c r="M97" s="73"/>
      <c r="N97" s="1"/>
      <c r="O97" s="1"/>
      <c r="P97" s="1"/>
      <c r="Q97" s="1"/>
      <c r="R97" s="1"/>
      <c r="S97" s="1"/>
      <c r="T97" s="1"/>
      <c r="U97" s="1"/>
      <c r="V97" s="1"/>
      <c r="W97" s="1"/>
      <c r="X97" s="1"/>
      <c r="Y97" s="1"/>
      <c r="Z97" s="1"/>
      <c r="AA97" s="1"/>
      <c r="AB97" s="1"/>
    </row>
    <row r="98" spans="1:28" ht="12.75" customHeight="1">
      <c r="A98" s="45"/>
      <c r="B98" s="46"/>
      <c r="C98" s="74"/>
      <c r="D98" s="46"/>
      <c r="E98" s="46"/>
      <c r="F98" s="41"/>
      <c r="G98" s="41"/>
      <c r="H98" s="75"/>
      <c r="I98" s="75"/>
      <c r="J98" s="41"/>
      <c r="K98" s="41"/>
      <c r="L98" s="73"/>
      <c r="M98" s="73"/>
      <c r="N98" s="1"/>
      <c r="O98" s="1"/>
      <c r="P98" s="1"/>
      <c r="Q98" s="1"/>
      <c r="R98" s="1"/>
      <c r="S98" s="1"/>
      <c r="T98" s="1"/>
      <c r="U98" s="1"/>
      <c r="V98" s="1"/>
      <c r="W98" s="1"/>
      <c r="X98" s="1"/>
      <c r="Y98" s="1"/>
      <c r="Z98" s="1"/>
      <c r="AA98" s="1"/>
      <c r="AB98" s="1"/>
    </row>
    <row r="99" spans="1:28" ht="12.75" customHeight="1">
      <c r="A99" s="76" t="str">
        <f>IF($D$14="English","place of installation:","Ort der Inbetriebnahme:")</f>
        <v>place of installation:</v>
      </c>
      <c r="B99" s="1"/>
      <c r="C99" s="1"/>
      <c r="D99" s="1"/>
      <c r="E99" s="253"/>
      <c r="F99" s="215"/>
      <c r="G99" s="215"/>
      <c r="H99" s="215"/>
      <c r="I99" s="215"/>
      <c r="J99" s="215"/>
      <c r="K99" s="215"/>
      <c r="L99" s="215"/>
      <c r="M99" s="215"/>
      <c r="N99" s="215"/>
      <c r="O99" s="215"/>
      <c r="P99" s="215"/>
      <c r="Q99" s="261"/>
      <c r="R99" s="1"/>
      <c r="S99" s="1"/>
      <c r="T99" s="1"/>
      <c r="U99" s="1"/>
      <c r="V99" s="1"/>
      <c r="W99" s="1"/>
      <c r="X99" s="1"/>
      <c r="Y99" s="1"/>
      <c r="Z99" s="1"/>
      <c r="AA99" s="1"/>
      <c r="AB99" s="1"/>
    </row>
    <row r="100" spans="1:28" ht="12.75" customHeight="1">
      <c r="A100" s="77"/>
      <c r="B100" s="1"/>
      <c r="C100" s="1"/>
      <c r="D100" s="1"/>
      <c r="E100" s="253"/>
      <c r="F100" s="215"/>
      <c r="G100" s="215"/>
      <c r="H100" s="215"/>
      <c r="I100" s="215"/>
      <c r="J100" s="215"/>
      <c r="K100" s="215"/>
      <c r="L100" s="215"/>
      <c r="M100" s="215"/>
      <c r="N100" s="215"/>
      <c r="O100" s="215"/>
      <c r="P100" s="215"/>
      <c r="Q100" s="261"/>
      <c r="R100" s="1"/>
      <c r="S100" s="1"/>
      <c r="T100" s="1"/>
      <c r="U100" s="1"/>
      <c r="V100" s="1"/>
      <c r="W100" s="1"/>
      <c r="X100" s="1"/>
      <c r="Y100" s="1"/>
      <c r="Z100" s="1"/>
      <c r="AA100" s="1"/>
      <c r="AB100" s="1"/>
    </row>
    <row r="101" spans="1:28" ht="12.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8" customHeight="1">
      <c r="A102" s="76" t="str">
        <f>IF($D$14="English","Calibration Counter C:","Kalibrierzähler C:")</f>
        <v>Calibration Counter C:</v>
      </c>
      <c r="B102" s="1"/>
      <c r="C102" s="1"/>
      <c r="D102" s="1"/>
      <c r="E102" s="253"/>
      <c r="F102" s="216"/>
      <c r="G102" s="17"/>
      <c r="H102" s="41"/>
      <c r="I102" s="41"/>
      <c r="J102" s="41"/>
      <c r="K102" s="41"/>
      <c r="L102" s="73"/>
      <c r="M102" s="73"/>
      <c r="N102" s="1"/>
      <c r="O102" s="1"/>
      <c r="P102" s="1"/>
      <c r="Q102" s="1"/>
      <c r="R102" s="1"/>
      <c r="S102" s="1"/>
      <c r="T102" s="1"/>
      <c r="U102" s="1"/>
      <c r="V102" s="1"/>
      <c r="W102" s="1"/>
      <c r="X102" s="1"/>
      <c r="Y102" s="1"/>
      <c r="Z102" s="1"/>
      <c r="AA102" s="1"/>
      <c r="AB102" s="1"/>
    </row>
    <row r="103" spans="1:28" ht="12.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2.75" customHeight="1">
      <c r="A104" s="78"/>
      <c r="B104" s="78" t="str">
        <f>IF($D$14="English","Note:  If the scale  fails any test, it should not be used!","Anmerkung: Falls ein Test nicht bestanden ist, ist die Waage nicht eichfähig!")</f>
        <v>Note:  If the scale  fails any test, it should not be used!</v>
      </c>
      <c r="C104" s="74"/>
      <c r="D104" s="41"/>
      <c r="E104" s="41"/>
      <c r="F104" s="41"/>
      <c r="G104" s="17"/>
      <c r="H104" s="41"/>
      <c r="I104" s="41"/>
      <c r="J104" s="41"/>
      <c r="K104" s="41"/>
      <c r="L104" s="73"/>
      <c r="M104" s="73"/>
      <c r="N104" s="1"/>
      <c r="O104" s="1"/>
      <c r="P104" s="1"/>
      <c r="Q104" s="1"/>
      <c r="R104" s="1"/>
      <c r="S104" s="1"/>
      <c r="T104" s="1"/>
      <c r="U104" s="1"/>
      <c r="V104" s="1"/>
      <c r="W104" s="1"/>
      <c r="X104" s="1"/>
      <c r="Y104" s="1"/>
      <c r="Z104" s="1"/>
      <c r="AA104" s="1"/>
      <c r="AB104" s="1"/>
    </row>
    <row r="105" spans="1:28" ht="12"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2"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2"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2"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2"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2"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2"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2"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2"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2"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2" customHeight="1">
      <c r="A115" s="99"/>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2"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2"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2"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2"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2"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2"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2"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2"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2"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2"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2"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2"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2"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2"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2"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2"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2"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2"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2"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2"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2"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2"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2"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2"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2"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2"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2"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2"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2"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2"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2"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2"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2"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2"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2"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2"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2"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2"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2"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2"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2"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2"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2"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2"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2"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2"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2"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2"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2"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2"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2"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2"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2"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2"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2"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2"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2"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2"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2"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2"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2"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2"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2"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2"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2"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2"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2"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2"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2"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2"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2"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2"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2"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2"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2"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2"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2"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2"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2"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2"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2"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2"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2"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2"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2"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2"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2"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2"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2"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2"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2"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2"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2"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2"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2"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2"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2"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2"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2"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2"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2"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2"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2"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2"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2"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2"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2"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2"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2"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2"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2"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2"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2"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2"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2"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2"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2"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2"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2"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2"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2"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2"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2"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2"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2"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2"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2"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2"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2"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2"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2"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2"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2"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2"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2"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2"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2"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2"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2"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2"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2"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2"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2"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2"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2"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2"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2"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2"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2"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2"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2"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2"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2"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2"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2"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2"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2"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2"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2"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2"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2"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2"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2"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2"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2"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2"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2"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2"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2"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2"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2"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2"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2"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2"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2"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2"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2"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2"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2"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2"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2"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2"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2"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2"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2"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2"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2"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2"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2"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2"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2"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2"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2"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2"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2"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2"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2"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2"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2"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2"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2"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2"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2"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2"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2"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2"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2"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2"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2"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2"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2"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2"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2"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2"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2"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2"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2"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2"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2"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2"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2"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2"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2"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2"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2"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2"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2"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2"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2"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2"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2"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2"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2"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2"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2"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2"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2"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2"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2"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2"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2"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2"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2"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2"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2"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2"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2"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2"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2"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2"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2"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2"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2"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2"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2"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2"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2"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2"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2"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2"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2"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2"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2"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2"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2"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2"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2"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2"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2"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2"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2"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2"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2"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2"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2"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2"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2"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2"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2"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2"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2"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2"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2"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2"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2"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2"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2"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2"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2"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2"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2"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2"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2"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2"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2"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2"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2"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2"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2"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2"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2"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2"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2"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2"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2"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2"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2"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2"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2"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2"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2"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2"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2"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2"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2"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2"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2"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2"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2"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2"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2"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2"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2"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2"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2"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2"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2"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2"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2"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2"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2"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2"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2"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2"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2"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2"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2"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2"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2"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2"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2"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2"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2"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2"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2"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2"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2"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2"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2"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2"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2"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2"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2"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2"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2"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2"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2"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2"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2"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2"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2"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2"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2"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2"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2"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2"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2"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2"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2"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2"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2"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2"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2"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2"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2"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2"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2"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2"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2"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2"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2"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2"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2"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2"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2"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2"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2"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2"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2"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2"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2"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2"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2"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2"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2"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2"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2"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2"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2"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2"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2"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2"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2"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2"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2"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2"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2"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2"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2"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2"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2"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2"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2"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2"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2"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2"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2"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2"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2"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2"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2"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2"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2"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2"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2"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2"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2"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2"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2"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2"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2"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2"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2"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2"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2"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2"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2"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2"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2"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2"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2"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2"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2"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2"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2"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2"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2"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2"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2"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2"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2"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2"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2"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2"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2"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2"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2"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2"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2"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2"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2"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2"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2"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2"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2"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2"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2"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2"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2"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2"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2"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2"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2"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2"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2"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2"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2"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2"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2"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2"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2"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2"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2"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2"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2"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2"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2"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2"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2"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2"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2"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2"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2"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2"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2"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2"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2"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2"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2"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2"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2"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2"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2"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2"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2"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2"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2"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2"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2"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2"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2"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2"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2"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2"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2"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2"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2"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2"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2"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2"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2"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2"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2"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2"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2"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2"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2"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2"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2"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2"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2"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2"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2"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2"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2"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2"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2"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2"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2"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2"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2"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2"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2"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2"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2"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2"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2"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2"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2"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2"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2"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2"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2"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2"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2"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2"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2"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2"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2"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2"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2"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2"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2"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2"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2"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2"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2"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2"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2"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2"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2"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2"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2"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2"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2"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2"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2"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2"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2"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2"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2"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2"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2"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2"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2"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2"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2"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2"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2"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2"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2"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2"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2"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2"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2"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2"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2"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2"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2"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2"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2"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2"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2"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2"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2"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2"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2"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2"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2"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2"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2"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2"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2"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2"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2"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2"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2"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2"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2"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2"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2"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2"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2"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2"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2"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2"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2"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2"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2"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2"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2"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2"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2"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2"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2"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2"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2"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2"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2"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2"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2"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2"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2"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2"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2"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2"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2"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2"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2"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2"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2"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2"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2"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2"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2"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2"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2"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2"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2"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2"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2"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2"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2"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2"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2"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2"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2"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2"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2"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2"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2"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2"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2"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2"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2"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2"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2"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2"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2"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2"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2"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2"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2"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2"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2"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2"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2"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2"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2"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2"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2"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2"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2"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2"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2"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2"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2"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2"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2"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2"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2"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2"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2"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2"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2"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2"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2"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2"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2"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2"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2"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2"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2"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2"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2"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2"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2"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2"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2"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2"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2"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2"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2"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2"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2"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2"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2"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2"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2"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2"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2"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2"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2"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2"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2"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2"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2"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2"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2"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2"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2"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2"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2"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2"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2"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2"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2"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2"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2"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2"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2"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2"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2"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2"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2"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2"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2"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2"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2"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2"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2"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2"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2"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2"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2"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2"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2"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2"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2"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2"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2"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2"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2"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2"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2"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2"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2"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2"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2"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2"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2"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2"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2"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2"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2"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2"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2"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2"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2"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2"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2"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2"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2"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2"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2"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2"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2"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2"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2"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2"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2"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2"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2"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2"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2"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2"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2"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2"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2"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2"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2"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2"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2"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2"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2"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2"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2"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2"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2"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2"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2"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2"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2"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2"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2"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2"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2"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2"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2"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2"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2"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2"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2"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2"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2"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2"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2"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2"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2"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2"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2"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2"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2"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2"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2"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2"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2"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2"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2"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2"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2"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2"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2"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2"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2"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2"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2"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2"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2"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2"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2"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2"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2"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2"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2"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2"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2"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2"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2"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2"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2"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2"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2"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2"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2"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2"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2"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2"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2"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2"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2"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2"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2"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2"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2"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row r="1001" spans="1:28" ht="12"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row>
  </sheetData>
  <sheetProtection algorithmName="SHA-512" hashValue="E0aLyai7167Ar6mtBEuNF3z5H/kKlJJZhjkBcHc22s/Knqj8ORsrCe/ifWf6Elv8rjkpT0t2I/SyCPKxYgjDbQ==" saltValue="3OZdk09rlk53mc9fcIPGoQ==" spinCount="100000" sheet="1" objects="1" scenarios="1"/>
  <mergeCells count="202">
    <mergeCell ref="D6:H6"/>
    <mergeCell ref="L6:Q6"/>
    <mergeCell ref="D7:E7"/>
    <mergeCell ref="L7:Q7"/>
    <mergeCell ref="D9:E9"/>
    <mergeCell ref="L9:Q9"/>
    <mergeCell ref="D10:E10"/>
    <mergeCell ref="L10:Q10"/>
    <mergeCell ref="L11:Q11"/>
    <mergeCell ref="D8:E8"/>
    <mergeCell ref="L8:Q8"/>
    <mergeCell ref="L13:Q14"/>
    <mergeCell ref="L15:Q16"/>
    <mergeCell ref="E17:H17"/>
    <mergeCell ref="J17:K17"/>
    <mergeCell ref="P17:Q17"/>
    <mergeCell ref="A24:C24"/>
    <mergeCell ref="D24:F24"/>
    <mergeCell ref="G24:H24"/>
    <mergeCell ref="I24:J24"/>
    <mergeCell ref="K24:L24"/>
    <mergeCell ref="N24:O24"/>
    <mergeCell ref="P24:Q24"/>
    <mergeCell ref="N25:O25"/>
    <mergeCell ref="N26:O26"/>
    <mergeCell ref="N27:O27"/>
    <mergeCell ref="P27:Q27"/>
    <mergeCell ref="N28:O28"/>
    <mergeCell ref="P28:Q28"/>
    <mergeCell ref="B25:C25"/>
    <mergeCell ref="E25:F25"/>
    <mergeCell ref="G25:H25"/>
    <mergeCell ref="I25:J25"/>
    <mergeCell ref="P25:Q25"/>
    <mergeCell ref="B26:C26"/>
    <mergeCell ref="I26:J26"/>
    <mergeCell ref="P26:Q26"/>
    <mergeCell ref="E26:F26"/>
    <mergeCell ref="G26:H26"/>
    <mergeCell ref="B27:C27"/>
    <mergeCell ref="E27:F27"/>
    <mergeCell ref="G27:H27"/>
    <mergeCell ref="I27:J27"/>
    <mergeCell ref="B28:C28"/>
    <mergeCell ref="I28:J28"/>
    <mergeCell ref="E28:F28"/>
    <mergeCell ref="G28:H28"/>
    <mergeCell ref="G29:H29"/>
    <mergeCell ref="I29:J29"/>
    <mergeCell ref="J30:L30"/>
    <mergeCell ref="E33:G33"/>
    <mergeCell ref="H33:I33"/>
    <mergeCell ref="E54:F54"/>
    <mergeCell ref="E55:F55"/>
    <mergeCell ref="G55:H55"/>
    <mergeCell ref="I55:J55"/>
    <mergeCell ref="K47:L47"/>
    <mergeCell ref="M55:N55"/>
    <mergeCell ref="P55:Q55"/>
    <mergeCell ref="B52:C52"/>
    <mergeCell ref="B53:C53"/>
    <mergeCell ref="E53:F53"/>
    <mergeCell ref="G53:H53"/>
    <mergeCell ref="I53:J53"/>
    <mergeCell ref="B54:C54"/>
    <mergeCell ref="B55:C55"/>
    <mergeCell ref="G54:H54"/>
    <mergeCell ref="I54:J54"/>
    <mergeCell ref="M54:N54"/>
    <mergeCell ref="P54:Q54"/>
    <mergeCell ref="M56:N56"/>
    <mergeCell ref="M57:N57"/>
    <mergeCell ref="B56:C56"/>
    <mergeCell ref="E56:F56"/>
    <mergeCell ref="G56:H56"/>
    <mergeCell ref="I56:J56"/>
    <mergeCell ref="P56:Q56"/>
    <mergeCell ref="B57:C57"/>
    <mergeCell ref="I57:J57"/>
    <mergeCell ref="P57:Q57"/>
    <mergeCell ref="A33:D33"/>
    <mergeCell ref="A34:D34"/>
    <mergeCell ref="E34:G34"/>
    <mergeCell ref="A35:D35"/>
    <mergeCell ref="E35:G35"/>
    <mergeCell ref="E40:G40"/>
    <mergeCell ref="H40:I40"/>
    <mergeCell ref="D47:F47"/>
    <mergeCell ref="G47:H47"/>
    <mergeCell ref="I47:J47"/>
    <mergeCell ref="M47:N47"/>
    <mergeCell ref="P47:Q47"/>
    <mergeCell ref="B48:C48"/>
    <mergeCell ref="E48:F48"/>
    <mergeCell ref="G48:H48"/>
    <mergeCell ref="I48:J48"/>
    <mergeCell ref="M48:N48"/>
    <mergeCell ref="P48:Q48"/>
    <mergeCell ref="A40:D40"/>
    <mergeCell ref="A41:D41"/>
    <mergeCell ref="E41:G41"/>
    <mergeCell ref="A42:D42"/>
    <mergeCell ref="E42:G42"/>
    <mergeCell ref="A45:H46"/>
    <mergeCell ref="A47:C47"/>
    <mergeCell ref="M49:N49"/>
    <mergeCell ref="M50:N50"/>
    <mergeCell ref="M51:N51"/>
    <mergeCell ref="P51:Q51"/>
    <mergeCell ref="M52:N52"/>
    <mergeCell ref="P52:Q52"/>
    <mergeCell ref="M53:N53"/>
    <mergeCell ref="P53:Q53"/>
    <mergeCell ref="B49:C49"/>
    <mergeCell ref="E49:F49"/>
    <mergeCell ref="G49:H49"/>
    <mergeCell ref="I49:J49"/>
    <mergeCell ref="P49:Q49"/>
    <mergeCell ref="B50:C50"/>
    <mergeCell ref="I50:J50"/>
    <mergeCell ref="P50:Q50"/>
    <mergeCell ref="E50:F50"/>
    <mergeCell ref="G50:H50"/>
    <mergeCell ref="B51:C51"/>
    <mergeCell ref="E51:F51"/>
    <mergeCell ref="G51:H51"/>
    <mergeCell ref="I51:J51"/>
    <mergeCell ref="I52:J52"/>
    <mergeCell ref="A90:B90"/>
    <mergeCell ref="C88:D88"/>
    <mergeCell ref="C89:D89"/>
    <mergeCell ref="C90:D90"/>
    <mergeCell ref="D96:E96"/>
    <mergeCell ref="D97:E97"/>
    <mergeCell ref="F73:G73"/>
    <mergeCell ref="H73:I73"/>
    <mergeCell ref="F72:G72"/>
    <mergeCell ref="F74:G74"/>
    <mergeCell ref="F75:G75"/>
    <mergeCell ref="H75:I75"/>
    <mergeCell ref="F76:G76"/>
    <mergeCell ref="F84:H84"/>
    <mergeCell ref="I84:J84"/>
    <mergeCell ref="A85:D85"/>
    <mergeCell ref="A86:B86"/>
    <mergeCell ref="C86:D86"/>
    <mergeCell ref="C87:D87"/>
    <mergeCell ref="G86:H86"/>
    <mergeCell ref="G87:H87"/>
    <mergeCell ref="A87:B87"/>
    <mergeCell ref="A88:B88"/>
    <mergeCell ref="A89:B89"/>
    <mergeCell ref="G88:H88"/>
    <mergeCell ref="I88:J88"/>
    <mergeCell ref="K88:L88"/>
    <mergeCell ref="E100:Q100"/>
    <mergeCell ref="E102:F102"/>
    <mergeCell ref="G89:H89"/>
    <mergeCell ref="I89:J89"/>
    <mergeCell ref="K89:L89"/>
    <mergeCell ref="G90:H90"/>
    <mergeCell ref="I90:J90"/>
    <mergeCell ref="K90:L90"/>
    <mergeCell ref="E99:Q99"/>
    <mergeCell ref="O88:P88"/>
    <mergeCell ref="O89:P89"/>
    <mergeCell ref="O90:P90"/>
    <mergeCell ref="O91:P91"/>
    <mergeCell ref="F70:G70"/>
    <mergeCell ref="H70:I70"/>
    <mergeCell ref="E52:F52"/>
    <mergeCell ref="G52:H52"/>
    <mergeCell ref="A68:B68"/>
    <mergeCell ref="H68:I68"/>
    <mergeCell ref="A69:B69"/>
    <mergeCell ref="H69:I69"/>
    <mergeCell ref="A70:B70"/>
    <mergeCell ref="E57:F57"/>
    <mergeCell ref="G57:H57"/>
    <mergeCell ref="A71:B71"/>
    <mergeCell ref="F71:G71"/>
    <mergeCell ref="H71:I71"/>
    <mergeCell ref="A72:B72"/>
    <mergeCell ref="H72:I72"/>
    <mergeCell ref="A73:B73"/>
    <mergeCell ref="H74:I74"/>
    <mergeCell ref="K84:L84"/>
    <mergeCell ref="M84:N84"/>
    <mergeCell ref="A74:B74"/>
    <mergeCell ref="A75:B75"/>
    <mergeCell ref="A84:D84"/>
    <mergeCell ref="O84:P84"/>
    <mergeCell ref="G85:H85"/>
    <mergeCell ref="I85:J85"/>
    <mergeCell ref="K85:L85"/>
    <mergeCell ref="O85:P85"/>
    <mergeCell ref="I86:J86"/>
    <mergeCell ref="K86:L86"/>
    <mergeCell ref="O86:P86"/>
    <mergeCell ref="O87:P87"/>
    <mergeCell ref="I87:J87"/>
    <mergeCell ref="K87:L87"/>
  </mergeCells>
  <dataValidations count="5">
    <dataValidation type="list" allowBlank="1" showInputMessage="1" showErrorMessage="1" prompt="X or nothing" sqref="H96" xr:uid="{00000000-0002-0000-0900-000000000000}">
      <formula1>"X"</formula1>
    </dataValidation>
    <dataValidation type="list" allowBlank="1" showErrorMessage="1" sqref="D14:D16" xr:uid="{00000000-0002-0000-0900-000001000000}">
      <formula1>"English,Deutsch"</formula1>
    </dataValidation>
    <dataValidation type="list" allowBlank="1" showInputMessage="1" showErrorMessage="1" prompt="Y or N" sqref="N12" xr:uid="{00000000-0002-0000-0900-000002000000}">
      <formula1>"Y,N"</formula1>
    </dataValidation>
    <dataValidation type="list" allowBlank="1" showErrorMessage="1" sqref="M3" xr:uid="{00000000-0002-0000-0900-000003000000}">
      <formula1>"III,IV"</formula1>
    </dataValidation>
    <dataValidation type="list" allowBlank="1" showErrorMessage="1" sqref="G66" xr:uid="{00000000-0002-0000-0900-000004000000}">
      <formula1>$R$69:$R$73</formula1>
    </dataValidation>
  </dataValidations>
  <pageMargins left="0.70866141732283505" right="0.70866141732283505" top="0.61354166666666698" bottom="0.50468749999999996" header="0" footer="0"/>
  <pageSetup paperSize="9" scale="92" orientation="portrait" r:id="rId1"/>
  <headerFooter>
    <oddFooter>&amp;L&amp;F&amp;CPage &amp;P / &amp;R&amp;D</oddFooter>
  </headerFooter>
  <rowBreaks count="1" manualBreakCount="1">
    <brk id="59" max="16383" man="1"/>
  </rowBreaks>
  <colBreaks count="1" manualBreakCount="1">
    <brk id="17" man="1"/>
  </col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B1001"/>
  <sheetViews>
    <sheetView view="pageBreakPreview" zoomScaleNormal="100" zoomScaleSheetLayoutView="100" workbookViewId="0">
      <selection activeCell="M85" sqref="M85"/>
    </sheetView>
  </sheetViews>
  <sheetFormatPr defaultColWidth="12.5703125" defaultRowHeight="15" customHeight="1"/>
  <cols>
    <col min="1" max="1" width="5.28515625" customWidth="1"/>
    <col min="2" max="2" width="6.28515625" customWidth="1"/>
    <col min="3" max="4" width="6" customWidth="1"/>
    <col min="5" max="5" width="8.85546875" customWidth="1"/>
    <col min="6" max="6" width="5.7109375" customWidth="1"/>
    <col min="7" max="7" width="6.28515625" customWidth="1"/>
    <col min="8" max="8" width="6.5703125" customWidth="1"/>
    <col min="9" max="9" width="5.140625" customWidth="1"/>
    <col min="10" max="10" width="7.140625" customWidth="1"/>
    <col min="11" max="11" width="6.5703125" customWidth="1"/>
    <col min="12" max="12" width="5.7109375" customWidth="1"/>
    <col min="13" max="13" width="5.28515625" customWidth="1"/>
    <col min="14" max="14" width="3.85546875" customWidth="1"/>
    <col min="15" max="15" width="4.28515625" customWidth="1"/>
    <col min="16" max="16" width="2.5703125" customWidth="1"/>
    <col min="17" max="17" width="4.85546875" customWidth="1"/>
    <col min="18" max="27" width="9.140625" hidden="1" customWidth="1"/>
    <col min="28" max="28" width="11.42578125" hidden="1" customWidth="1"/>
  </cols>
  <sheetData>
    <row r="1" spans="1:28" ht="15" customHeight="1">
      <c r="A1" s="206"/>
      <c r="B1" s="206"/>
      <c r="C1" s="206"/>
      <c r="D1" s="206"/>
      <c r="E1" s="206"/>
      <c r="F1" s="206"/>
      <c r="G1" s="1"/>
      <c r="H1" s="1"/>
      <c r="I1" s="1"/>
      <c r="J1" s="1"/>
      <c r="K1" s="1"/>
      <c r="L1" s="1"/>
      <c r="M1" s="1"/>
      <c r="N1" s="1"/>
      <c r="O1" s="1"/>
      <c r="P1" s="1"/>
      <c r="Q1" s="97" t="str">
        <f>IF($D$14="English","Test Report - Dual Range Onboard Weighing","Test-Report Zweibereich OnBoard Waage ")</f>
        <v>Test Report - Dual Range Onboard Weighing</v>
      </c>
      <c r="R1" s="1" t="s">
        <v>0</v>
      </c>
      <c r="S1" s="224" t="s">
        <v>1</v>
      </c>
      <c r="T1" s="225"/>
      <c r="U1" s="226"/>
      <c r="V1" s="1"/>
      <c r="W1" s="1"/>
      <c r="X1" s="1"/>
      <c r="Y1" s="1"/>
      <c r="Z1" s="1"/>
      <c r="AA1" s="1"/>
      <c r="AB1" s="1"/>
    </row>
    <row r="2" spans="1:28" ht="12" customHeight="1">
      <c r="A2" s="206"/>
      <c r="B2" s="206"/>
      <c r="C2" s="206"/>
      <c r="D2" s="206"/>
      <c r="E2" s="206"/>
      <c r="F2" s="206"/>
      <c r="G2" s="1"/>
      <c r="H2" s="1"/>
      <c r="I2" s="1"/>
      <c r="J2" s="1"/>
      <c r="K2" s="1"/>
      <c r="L2" s="1"/>
      <c r="M2" s="1"/>
      <c r="N2" s="1"/>
      <c r="O2" s="1"/>
      <c r="P2" s="1"/>
      <c r="Q2" s="4"/>
      <c r="R2" s="1" t="s">
        <v>2</v>
      </c>
      <c r="S2" s="224" t="s">
        <v>3</v>
      </c>
      <c r="T2" s="225"/>
      <c r="U2" s="226"/>
      <c r="V2" s="1"/>
      <c r="W2" s="1"/>
      <c r="X2" s="1"/>
      <c r="Y2" s="1"/>
      <c r="Z2" s="1"/>
      <c r="AA2" s="1"/>
      <c r="AB2" s="1"/>
    </row>
    <row r="3" spans="1:28" ht="12" customHeight="1">
      <c r="A3" s="207"/>
      <c r="B3" s="207"/>
      <c r="C3" s="207"/>
      <c r="D3" s="207"/>
      <c r="E3" s="207"/>
      <c r="F3" s="207"/>
      <c r="G3" s="1"/>
      <c r="H3" s="1"/>
      <c r="I3" s="1"/>
      <c r="J3" s="1" t="str">
        <f>IF($D$14="English","Accuracy Class","Genauigkeitsklasse")</f>
        <v>Accuracy Class</v>
      </c>
      <c r="K3" s="1"/>
      <c r="L3" s="1"/>
      <c r="M3" s="189" t="s">
        <v>136</v>
      </c>
      <c r="N3" s="1"/>
      <c r="O3" s="4"/>
      <c r="P3" s="5"/>
      <c r="Q3" s="4"/>
      <c r="R3" s="1"/>
      <c r="S3" s="1"/>
      <c r="T3" s="1"/>
      <c r="U3" s="1"/>
      <c r="V3" s="1"/>
      <c r="W3" s="1"/>
      <c r="X3" s="1"/>
      <c r="Y3" s="1"/>
      <c r="Z3" s="1"/>
      <c r="AA3" s="1"/>
      <c r="AB3" s="1"/>
    </row>
    <row r="4" spans="1:28" ht="12" customHeight="1">
      <c r="A4" s="209"/>
      <c r="B4" s="209"/>
      <c r="C4" s="209"/>
      <c r="D4" s="208"/>
      <c r="E4" s="208"/>
      <c r="F4" s="208"/>
      <c r="G4" s="1"/>
      <c r="H4" s="1"/>
      <c r="I4" s="1"/>
      <c r="J4" s="1"/>
      <c r="K4" s="1"/>
      <c r="L4" s="1"/>
      <c r="M4" s="1"/>
      <c r="N4" s="1"/>
      <c r="O4" s="1"/>
      <c r="P4" s="6"/>
      <c r="Q4" s="1"/>
      <c r="R4" s="1" t="s">
        <v>0</v>
      </c>
      <c r="S4" s="7" t="s">
        <v>5</v>
      </c>
      <c r="T4" s="1"/>
      <c r="U4" s="6"/>
      <c r="V4" s="8"/>
      <c r="W4" s="8"/>
      <c r="X4" s="1"/>
      <c r="Y4" s="1" t="s">
        <v>6</v>
      </c>
      <c r="Z4" s="1"/>
      <c r="AA4" s="1"/>
      <c r="AB4" s="1"/>
    </row>
    <row r="5" spans="1:28" ht="12" customHeight="1">
      <c r="A5" s="5"/>
      <c r="B5" s="1"/>
      <c r="C5" s="1"/>
      <c r="D5" s="1"/>
      <c r="E5" s="1"/>
      <c r="F5" s="1"/>
      <c r="G5" s="1"/>
      <c r="H5" s="1"/>
      <c r="I5" s="1"/>
      <c r="J5" s="1"/>
      <c r="K5" s="1"/>
      <c r="L5" s="152"/>
      <c r="M5" s="153"/>
      <c r="N5" s="153"/>
      <c r="O5" s="153"/>
      <c r="P5" s="153"/>
      <c r="Q5" s="153"/>
      <c r="R5" s="1"/>
      <c r="S5" s="10" t="s">
        <v>7</v>
      </c>
      <c r="T5" s="1"/>
      <c r="U5" s="6"/>
      <c r="V5" s="8"/>
      <c r="W5" s="8"/>
      <c r="X5" s="1"/>
      <c r="Y5" s="1"/>
      <c r="Z5" s="1"/>
      <c r="AA5" s="1"/>
      <c r="AB5" s="1"/>
    </row>
    <row r="6" spans="1:28" ht="12" customHeight="1">
      <c r="A6" s="1"/>
      <c r="B6" s="1"/>
      <c r="C6" s="9" t="str">
        <f>IF($D$14="English","Part No.:","Modell Nr.")</f>
        <v>Part No.:</v>
      </c>
      <c r="D6" s="275"/>
      <c r="E6" s="215"/>
      <c r="F6" s="215"/>
      <c r="G6" s="215"/>
      <c r="H6" s="216"/>
      <c r="I6" s="1"/>
      <c r="J6" s="1"/>
      <c r="K6" s="9" t="str">
        <f>IF($D$14="English","Test Date:","Testdatum")</f>
        <v>Test Date:</v>
      </c>
      <c r="L6" s="386"/>
      <c r="M6" s="387"/>
      <c r="N6" s="387"/>
      <c r="O6" s="387"/>
      <c r="P6" s="387"/>
      <c r="Q6" s="302"/>
      <c r="R6" s="1"/>
      <c r="S6" s="234" t="s">
        <v>8</v>
      </c>
      <c r="T6" s="223"/>
      <c r="U6" s="220"/>
      <c r="V6" s="1"/>
      <c r="W6" s="1"/>
      <c r="X6" s="1"/>
      <c r="Y6" s="1"/>
      <c r="Z6" s="1"/>
      <c r="AA6" s="1"/>
      <c r="AB6" s="1"/>
    </row>
    <row r="7" spans="1:28" ht="12" customHeight="1">
      <c r="A7" s="1"/>
      <c r="B7" s="1"/>
      <c r="C7" s="6"/>
      <c r="D7" s="388"/>
      <c r="E7" s="225"/>
      <c r="F7" s="1"/>
      <c r="G7" s="1"/>
      <c r="H7" s="1"/>
      <c r="I7" s="1"/>
      <c r="J7" s="1"/>
      <c r="K7" s="9" t="str">
        <f>IF($D$14="English","Test Officer:","RVO")</f>
        <v>Test Officer:</v>
      </c>
      <c r="L7" s="389"/>
      <c r="M7" s="215"/>
      <c r="N7" s="215"/>
      <c r="O7" s="215"/>
      <c r="P7" s="215"/>
      <c r="Q7" s="216"/>
      <c r="R7" s="1" t="s">
        <v>2</v>
      </c>
      <c r="S7" s="7" t="s">
        <v>146</v>
      </c>
      <c r="T7" s="1"/>
      <c r="U7" s="1"/>
      <c r="V7" s="1"/>
      <c r="W7" s="1"/>
      <c r="X7" s="1"/>
      <c r="Y7" s="1" t="s">
        <v>147</v>
      </c>
      <c r="Z7" s="1"/>
      <c r="AA7" s="1"/>
      <c r="AB7" s="1"/>
    </row>
    <row r="8" spans="1:28" ht="12" customHeight="1">
      <c r="A8" s="1"/>
      <c r="B8" s="1"/>
      <c r="C8" s="6"/>
      <c r="D8" s="391"/>
      <c r="E8" s="392"/>
      <c r="F8" s="1"/>
      <c r="G8" s="1"/>
      <c r="H8" s="1"/>
      <c r="I8" s="1"/>
      <c r="J8" s="1"/>
      <c r="K8" s="9" t="str">
        <f>IF($D$14="English","Scale No.","RVO")</f>
        <v>Scale No.</v>
      </c>
      <c r="L8" s="389"/>
      <c r="M8" s="215"/>
      <c r="N8" s="215"/>
      <c r="O8" s="215"/>
      <c r="P8" s="215"/>
      <c r="Q8" s="216"/>
      <c r="R8" s="1" t="s">
        <v>2</v>
      </c>
      <c r="S8" s="7" t="s">
        <v>146</v>
      </c>
      <c r="T8" s="1"/>
      <c r="U8" s="1"/>
      <c r="V8" s="1"/>
      <c r="W8" s="1"/>
      <c r="X8" s="1"/>
      <c r="Y8" s="1" t="s">
        <v>147</v>
      </c>
      <c r="Z8" s="1"/>
      <c r="AA8" s="1"/>
      <c r="AB8" s="1"/>
    </row>
    <row r="9" spans="1:28" ht="12" customHeight="1">
      <c r="A9" s="1"/>
      <c r="B9" s="1"/>
      <c r="C9" s="6" t="s">
        <v>10</v>
      </c>
      <c r="D9" s="397"/>
      <c r="E9" s="302"/>
      <c r="F9" s="1" t="s">
        <v>11</v>
      </c>
      <c r="G9" s="1"/>
      <c r="H9" s="1"/>
      <c r="I9" s="1"/>
      <c r="J9" s="1"/>
      <c r="K9" s="9" t="str">
        <f>IF($D$14="English","Indicator S/N.","Waagen S/N.")</f>
        <v>Indicator S/N.</v>
      </c>
      <c r="L9" s="214"/>
      <c r="M9" s="215"/>
      <c r="N9" s="215"/>
      <c r="O9" s="215"/>
      <c r="P9" s="215"/>
      <c r="Q9" s="216"/>
      <c r="R9" s="1"/>
      <c r="S9" s="1" t="s">
        <v>9</v>
      </c>
      <c r="T9" s="1"/>
      <c r="U9" s="1"/>
      <c r="V9" s="1"/>
      <c r="W9" s="1"/>
      <c r="X9" s="1"/>
      <c r="Y9" s="1"/>
      <c r="Z9" s="1"/>
      <c r="AA9" s="1"/>
      <c r="AB9" s="1"/>
    </row>
    <row r="10" spans="1:28" ht="12" customHeight="1">
      <c r="A10" s="1"/>
      <c r="B10" s="1"/>
      <c r="C10" s="6" t="s">
        <v>13</v>
      </c>
      <c r="D10" s="287"/>
      <c r="E10" s="216"/>
      <c r="F10" s="1" t="s">
        <v>11</v>
      </c>
      <c r="G10" s="1"/>
      <c r="H10" s="1"/>
      <c r="I10" s="1"/>
      <c r="J10" s="1"/>
      <c r="K10" s="9" t="str">
        <f>IF($D$14="English","TAC(Type Approval Certificate) Indicator","Bauartzulassung Wägeelektronik")</f>
        <v>TAC(Type Approval Certificate) Indicator</v>
      </c>
      <c r="L10" s="214"/>
      <c r="M10" s="215"/>
      <c r="N10" s="215"/>
      <c r="O10" s="215"/>
      <c r="P10" s="215"/>
      <c r="Q10" s="216"/>
      <c r="R10" s="1"/>
      <c r="S10" s="234" t="s">
        <v>12</v>
      </c>
      <c r="T10" s="223"/>
      <c r="U10" s="220"/>
      <c r="V10" s="1"/>
      <c r="W10" s="1"/>
      <c r="X10" s="1"/>
      <c r="Y10" s="1"/>
      <c r="Z10" s="1"/>
      <c r="AA10" s="1"/>
      <c r="AB10" s="1"/>
    </row>
    <row r="11" spans="1:28" ht="12" customHeight="1">
      <c r="A11" s="1"/>
      <c r="B11" s="1"/>
      <c r="C11" s="6" t="s">
        <v>14</v>
      </c>
      <c r="D11" s="288"/>
      <c r="E11" s="216"/>
      <c r="F11" s="1" t="s">
        <v>11</v>
      </c>
      <c r="G11" s="1"/>
      <c r="H11" s="1"/>
      <c r="I11" s="1"/>
      <c r="J11" s="1"/>
      <c r="K11" s="9" t="str">
        <f>IF($D$14="English","Firmware type and version:","Wägeelektronik Programm und Version")</f>
        <v>Firmware type and version:</v>
      </c>
      <c r="L11" s="214"/>
      <c r="M11" s="215"/>
      <c r="N11" s="215"/>
      <c r="O11" s="215"/>
      <c r="P11" s="215"/>
      <c r="Q11" s="216"/>
      <c r="R11" s="1"/>
      <c r="S11" s="1"/>
      <c r="T11" s="1"/>
      <c r="U11" s="1"/>
      <c r="V11" s="1"/>
      <c r="W11" s="1"/>
      <c r="X11" s="1"/>
      <c r="Y11" s="1"/>
      <c r="Z11" s="1"/>
      <c r="AA11" s="1"/>
      <c r="AB11" s="1"/>
    </row>
    <row r="12" spans="1:28" ht="12.75" customHeight="1">
      <c r="A12" s="1"/>
      <c r="B12" s="1"/>
      <c r="C12" s="6" t="s">
        <v>15</v>
      </c>
      <c r="D12" s="288"/>
      <c r="E12" s="216"/>
      <c r="F12" s="1" t="s">
        <v>11</v>
      </c>
      <c r="G12" s="1"/>
      <c r="H12" s="6"/>
      <c r="I12" s="6"/>
      <c r="J12" s="6"/>
      <c r="K12" s="6"/>
      <c r="L12" s="6"/>
      <c r="M12" s="9" t="str">
        <f>IF($D$14="English","Test Weight Calibrations Current?","Standardgewichte kalibriert?")</f>
        <v>Test Weight Calibrations Current?</v>
      </c>
      <c r="N12" s="169"/>
      <c r="O12" s="1"/>
      <c r="P12" s="1"/>
      <c r="Q12" s="1"/>
      <c r="R12" s="1"/>
      <c r="S12" s="1"/>
      <c r="T12" s="1"/>
      <c r="U12" s="1"/>
      <c r="V12" s="1"/>
      <c r="W12" s="1"/>
      <c r="X12" s="1"/>
      <c r="Y12" s="1"/>
      <c r="Z12" s="1"/>
      <c r="AA12" s="1"/>
      <c r="AB12" s="1"/>
    </row>
    <row r="13" spans="1:28" ht="12" customHeight="1">
      <c r="A13" s="7"/>
      <c r="B13" s="1"/>
      <c r="C13" s="1"/>
      <c r="D13" s="1"/>
      <c r="E13" s="1"/>
      <c r="F13" s="1"/>
      <c r="G13" s="1"/>
      <c r="H13" s="1"/>
      <c r="K13" s="9" t="str">
        <f>IF($D$14="English","Set-No. of Standard-Weights in use","Set-Nr. der Standardgewichte")</f>
        <v>Set-No. of Standard-Weights in use</v>
      </c>
      <c r="L13" s="247"/>
      <c r="M13" s="248"/>
      <c r="N13" s="248"/>
      <c r="O13" s="248"/>
      <c r="P13" s="248"/>
      <c r="Q13" s="249"/>
      <c r="R13" s="1" t="s">
        <v>0</v>
      </c>
      <c r="S13" s="7" t="s">
        <v>16</v>
      </c>
      <c r="T13" s="1"/>
      <c r="U13" s="6"/>
      <c r="V13" s="8"/>
      <c r="W13" s="8"/>
      <c r="X13" s="1"/>
      <c r="Y13" s="1" t="s">
        <v>17</v>
      </c>
      <c r="Z13" s="1"/>
      <c r="AA13" s="1"/>
      <c r="AB13" s="1"/>
    </row>
    <row r="14" spans="1:28" ht="12" customHeight="1">
      <c r="A14" s="14" t="s">
        <v>19</v>
      </c>
      <c r="B14" s="1"/>
      <c r="C14" s="1"/>
      <c r="D14" s="174" t="s">
        <v>0</v>
      </c>
      <c r="E14" s="16"/>
      <c r="F14" s="1"/>
      <c r="G14" s="6"/>
      <c r="H14" s="12" t="s">
        <v>18</v>
      </c>
      <c r="I14" s="254" t="str">
        <f>IF($D$11=0," ",$D$9/$D$11)</f>
        <v xml:space="preserve"> </v>
      </c>
      <c r="J14" s="237"/>
      <c r="L14" s="250"/>
      <c r="M14" s="251"/>
      <c r="N14" s="251"/>
      <c r="O14" s="251"/>
      <c r="P14" s="251"/>
      <c r="Q14" s="252"/>
      <c r="R14" s="1"/>
      <c r="S14" s="234" t="s">
        <v>8</v>
      </c>
      <c r="T14" s="223"/>
      <c r="U14" s="220"/>
      <c r="V14" s="1"/>
      <c r="W14" s="1"/>
      <c r="X14" s="1"/>
      <c r="Y14" s="1"/>
      <c r="Z14" s="1"/>
      <c r="AA14" s="1"/>
      <c r="AB14" s="1"/>
    </row>
    <row r="15" spans="1:28" ht="12" customHeight="1">
      <c r="A15" s="1"/>
      <c r="B15" s="1"/>
      <c r="C15" s="1"/>
      <c r="D15" s="1"/>
      <c r="E15" s="1"/>
      <c r="F15" s="1"/>
      <c r="G15" s="6"/>
      <c r="H15" s="12" t="s">
        <v>20</v>
      </c>
      <c r="I15" s="254" t="str">
        <f>IF($D$12=0," ",$D$10/$D$12)</f>
        <v xml:space="preserve"> </v>
      </c>
      <c r="J15" s="237"/>
      <c r="K15" s="1"/>
      <c r="L15" s="1"/>
      <c r="M15" s="1"/>
      <c r="N15" s="1"/>
      <c r="O15" s="1"/>
      <c r="P15" s="1"/>
      <c r="Q15" s="1"/>
      <c r="R15" s="1" t="s">
        <v>2</v>
      </c>
      <c r="S15" s="7" t="s">
        <v>21</v>
      </c>
      <c r="T15" s="1"/>
      <c r="U15" s="1"/>
      <c r="V15" s="1"/>
      <c r="W15" s="1"/>
      <c r="X15" s="1"/>
      <c r="Y15" s="1"/>
      <c r="Z15" s="1"/>
      <c r="AA15" s="1"/>
      <c r="AB15" s="1"/>
    </row>
    <row r="16" spans="1:28" ht="12" customHeight="1">
      <c r="A16" s="1"/>
      <c r="B16" s="1"/>
      <c r="C16" s="1"/>
      <c r="D16" s="1"/>
      <c r="E16" s="1"/>
      <c r="F16" s="1"/>
      <c r="G16" s="6"/>
      <c r="H16" s="12"/>
      <c r="I16" s="13"/>
      <c r="J16" s="13"/>
      <c r="K16" s="6" t="str">
        <f>IF($D$14="English","Set-No. Small Weights in use","Set-Nr. der kleinen Gewichte")</f>
        <v>Set-No. Small Weights in use</v>
      </c>
      <c r="L16" s="247"/>
      <c r="M16" s="248"/>
      <c r="N16" s="248"/>
      <c r="O16" s="248"/>
      <c r="P16" s="248"/>
      <c r="Q16" s="249"/>
      <c r="R16" s="1"/>
      <c r="S16" s="7"/>
      <c r="T16" s="1"/>
      <c r="U16" s="1"/>
      <c r="V16" s="1"/>
      <c r="W16" s="1"/>
      <c r="X16" s="1"/>
      <c r="Y16" s="1"/>
      <c r="Z16" s="1"/>
      <c r="AA16" s="1"/>
      <c r="AB16" s="1"/>
    </row>
    <row r="17" spans="1:28" ht="12" customHeight="1">
      <c r="A17" s="1"/>
      <c r="B17" s="1"/>
      <c r="C17" s="1"/>
      <c r="D17" s="1"/>
      <c r="E17" s="1"/>
      <c r="F17" s="1"/>
      <c r="G17" s="6"/>
      <c r="H17" s="12"/>
      <c r="I17" s="13"/>
      <c r="J17" s="13"/>
      <c r="K17" s="1"/>
      <c r="L17" s="250"/>
      <c r="M17" s="251"/>
      <c r="N17" s="251"/>
      <c r="O17" s="251"/>
      <c r="P17" s="251"/>
      <c r="Q17" s="252"/>
      <c r="R17" s="1"/>
      <c r="S17" s="7"/>
      <c r="T17" s="1"/>
      <c r="U17" s="1"/>
      <c r="V17" s="1"/>
      <c r="W17" s="1"/>
      <c r="X17" s="1"/>
      <c r="Y17" s="1"/>
      <c r="Z17" s="1"/>
      <c r="AA17" s="1"/>
      <c r="AB17" s="1"/>
    </row>
    <row r="18" spans="1:28" ht="17.25" customHeight="1">
      <c r="A18" s="7" t="str">
        <f>IF($D$14="English","Load Cell","Wägezelle")</f>
        <v>Load Cell</v>
      </c>
      <c r="B18" s="1"/>
      <c r="C18" s="1" t="str">
        <f>IF($D$14="English","Manufacturer","Hersteller")</f>
        <v>Manufacturer</v>
      </c>
      <c r="D18" s="1"/>
      <c r="E18" s="240"/>
      <c r="F18" s="215"/>
      <c r="G18" s="215"/>
      <c r="H18" s="216"/>
      <c r="I18" s="1" t="s">
        <v>22</v>
      </c>
      <c r="J18" s="253"/>
      <c r="K18" s="216"/>
      <c r="L18" s="1" t="str">
        <f>IF($D$14="English","Total number:","Gesamtanzahl:")</f>
        <v>Total number:</v>
      </c>
      <c r="M18" s="6"/>
      <c r="N18" s="6"/>
      <c r="O18" s="1"/>
      <c r="P18" s="253"/>
      <c r="Q18" s="216"/>
      <c r="R18" s="1"/>
      <c r="S18" s="234" t="s">
        <v>12</v>
      </c>
      <c r="T18" s="223"/>
      <c r="U18" s="220"/>
      <c r="V18" s="1"/>
      <c r="W18" s="1"/>
      <c r="X18" s="1"/>
      <c r="Y18" s="1" t="s">
        <v>23</v>
      </c>
      <c r="Z18" s="1"/>
      <c r="AA18" s="1"/>
      <c r="AB18" s="1"/>
    </row>
    <row r="19" spans="1:28" ht="12" customHeight="1">
      <c r="A19" s="1"/>
      <c r="B19" s="1"/>
      <c r="C19" s="1"/>
      <c r="D19" s="1"/>
      <c r="E19" s="1"/>
      <c r="F19" s="1"/>
      <c r="G19" s="6"/>
      <c r="J19" s="17"/>
      <c r="K19" s="1"/>
      <c r="L19" s="1"/>
      <c r="M19" s="1"/>
      <c r="N19" s="1"/>
      <c r="O19" s="1"/>
      <c r="P19" s="1"/>
      <c r="Q19" s="1"/>
      <c r="R19" s="1"/>
      <c r="S19" s="1"/>
      <c r="T19" s="1"/>
      <c r="U19" s="1"/>
      <c r="V19" s="1"/>
      <c r="W19" s="1"/>
      <c r="X19" s="1"/>
      <c r="Y19" s="1"/>
      <c r="Z19" s="1"/>
      <c r="AA19" s="1"/>
      <c r="AB19" s="1"/>
    </row>
    <row r="20" spans="1:28" ht="12" customHeight="1">
      <c r="A20" s="7" t="str">
        <f>IF($D$14="English","1. Repeatability Test (indicator in hi-res mode):","1. Prüfung der Wiederholbarkeit (Indikator in Hi-Res-Modus):")</f>
        <v>1. Repeatability Test (indicator in hi-res mode):</v>
      </c>
      <c r="B20" s="1"/>
      <c r="C20" s="6"/>
      <c r="D20" s="8"/>
      <c r="E20" s="8"/>
      <c r="F20" s="1"/>
      <c r="G20" s="1"/>
      <c r="H20" s="1" t="str">
        <f>IF($D$14="English","accordance to EN45501-2015, A.4.10","gemäß EN45501-2015, A.4.10")</f>
        <v>accordance to EN45501-2015, A.4.10</v>
      </c>
      <c r="I20" s="1"/>
      <c r="J20" s="1"/>
      <c r="K20" s="6"/>
      <c r="L20" s="6"/>
      <c r="M20" s="6"/>
      <c r="N20" s="1"/>
      <c r="O20" s="1"/>
      <c r="P20" s="1"/>
      <c r="Q20" s="1"/>
      <c r="R20" s="1"/>
      <c r="S20" s="1"/>
      <c r="T20" s="1"/>
      <c r="U20" s="1"/>
      <c r="V20" s="1"/>
      <c r="W20" s="1"/>
      <c r="X20" s="1"/>
      <c r="Y20" s="1"/>
      <c r="Z20" s="1"/>
      <c r="AA20" s="1"/>
      <c r="AB20" s="1"/>
    </row>
    <row r="21" spans="1:28" ht="12" customHeight="1">
      <c r="A21" s="1" t="str">
        <f>IF($D$14="English","* The zero tracking device may be in operation for the repeatability test.","* Die Nullnachführung darf bei der Prüfung der Wiederholbarkeit eingeschaltet sein")</f>
        <v>* The zero tracking device may be in operation for the repeatability test.</v>
      </c>
      <c r="B21" s="1"/>
      <c r="C21" s="6"/>
      <c r="D21" s="8"/>
      <c r="E21" s="8"/>
      <c r="F21" s="1"/>
      <c r="G21" s="1"/>
      <c r="H21" s="1"/>
      <c r="I21" s="1"/>
      <c r="J21" s="1"/>
      <c r="K21" s="6"/>
      <c r="L21" s="6"/>
      <c r="M21" s="6"/>
      <c r="N21" s="1"/>
      <c r="O21" s="1"/>
      <c r="P21" s="1"/>
      <c r="Q21" s="1"/>
      <c r="R21" s="1" t="s">
        <v>0</v>
      </c>
      <c r="S21" s="7" t="s">
        <v>24</v>
      </c>
      <c r="T21" s="1"/>
      <c r="U21" s="6"/>
      <c r="V21" s="8"/>
      <c r="W21" s="8"/>
      <c r="X21" s="1" t="s">
        <v>25</v>
      </c>
      <c r="Y21" s="1"/>
      <c r="Z21" s="1"/>
      <c r="AA21" s="1"/>
      <c r="AB21" s="1"/>
    </row>
    <row r="22" spans="1:28" ht="12" customHeight="1">
      <c r="A22" s="14" t="str">
        <f>IF($D$14="English","Substitution of standard weights: Standard weights of at least 1 t or 50% Max must be available","Einsatz von Ersatzlasten: Standardgewichte von mindestens 1t oder 50%Max müssen vorhanden sein. ")</f>
        <v>Substitution of standard weights: Standard weights of at least 1 t or 50% Max must be available</v>
      </c>
      <c r="B22" s="1"/>
      <c r="C22" s="6"/>
      <c r="D22" s="8"/>
      <c r="E22" s="8"/>
      <c r="F22" s="1"/>
      <c r="G22" s="1"/>
      <c r="H22" s="1"/>
      <c r="I22" s="1"/>
      <c r="J22" s="1"/>
      <c r="K22" s="6"/>
      <c r="L22" s="6"/>
      <c r="M22" s="6"/>
      <c r="N22" s="1"/>
      <c r="O22" s="1"/>
      <c r="P22" s="1"/>
      <c r="Q22" s="1"/>
      <c r="R22" s="1"/>
      <c r="S22" s="1"/>
      <c r="T22" s="1"/>
      <c r="U22" s="1"/>
      <c r="V22" s="1"/>
      <c r="W22" s="1"/>
      <c r="X22" s="1"/>
      <c r="Y22" s="1"/>
      <c r="Z22" s="1"/>
      <c r="AA22" s="1"/>
      <c r="AB22" s="1"/>
    </row>
    <row r="23" spans="1:28" ht="12" customHeight="1">
      <c r="A23" s="1"/>
      <c r="B23" s="1"/>
      <c r="C23" s="6"/>
      <c r="D23" s="8"/>
      <c r="E23" s="8"/>
      <c r="F23" s="1"/>
      <c r="G23" s="1"/>
      <c r="H23" s="1"/>
      <c r="I23" s="1"/>
      <c r="J23" s="1"/>
      <c r="K23" s="6"/>
      <c r="L23" s="6"/>
      <c r="M23" s="6"/>
      <c r="N23" s="1"/>
      <c r="O23" s="1"/>
      <c r="P23" s="1"/>
      <c r="Q23" s="1"/>
      <c r="R23" s="1"/>
      <c r="S23" s="7"/>
      <c r="T23" s="1"/>
      <c r="U23" s="6"/>
      <c r="V23" s="8"/>
      <c r="W23" s="8"/>
      <c r="X23" s="1"/>
      <c r="Y23" s="1"/>
      <c r="Z23" s="1"/>
      <c r="AA23" s="1"/>
      <c r="AB23" s="1"/>
    </row>
    <row r="24" spans="1:28" ht="12" customHeight="1">
      <c r="A24" s="234" t="str">
        <f>IF($D$14="English","load must be about","ungefähre Last")</f>
        <v>load must be about</v>
      </c>
      <c r="B24" s="223"/>
      <c r="C24" s="220"/>
      <c r="D24" s="231" t="s">
        <v>26</v>
      </c>
      <c r="E24" s="223"/>
      <c r="F24" s="220"/>
      <c r="G24" s="231" t="s">
        <v>27</v>
      </c>
      <c r="H24" s="220"/>
      <c r="I24" s="231" t="s">
        <v>28</v>
      </c>
      <c r="J24" s="220"/>
      <c r="K24" s="231" t="s">
        <v>29</v>
      </c>
      <c r="L24" s="220"/>
      <c r="M24" s="19" t="s">
        <v>30</v>
      </c>
      <c r="N24" s="231" t="s">
        <v>81</v>
      </c>
      <c r="O24" s="220"/>
      <c r="R24" s="23"/>
      <c r="S24" s="7"/>
      <c r="T24" s="1" t="s">
        <v>31</v>
      </c>
      <c r="U24" s="1"/>
      <c r="V24" s="1"/>
      <c r="W24" s="1"/>
      <c r="X24" s="1"/>
      <c r="Y24" s="1"/>
      <c r="Z24" s="1"/>
      <c r="AA24" s="1"/>
      <c r="AB24" s="1"/>
    </row>
    <row r="25" spans="1:28" ht="12" customHeight="1">
      <c r="A25" s="19" t="s">
        <v>32</v>
      </c>
      <c r="B25" s="239" t="s">
        <v>33</v>
      </c>
      <c r="C25" s="220"/>
      <c r="D25" s="19" t="s">
        <v>32</v>
      </c>
      <c r="E25" s="239" t="s">
        <v>33</v>
      </c>
      <c r="F25" s="220"/>
      <c r="G25" s="231" t="s">
        <v>33</v>
      </c>
      <c r="H25" s="220"/>
      <c r="I25" s="231" t="s">
        <v>33</v>
      </c>
      <c r="J25" s="223"/>
      <c r="K25" s="19" t="s">
        <v>33</v>
      </c>
      <c r="L25" s="21" t="s">
        <v>32</v>
      </c>
      <c r="M25" s="19" t="s">
        <v>34</v>
      </c>
      <c r="N25" s="231" t="s">
        <v>32</v>
      </c>
      <c r="O25" s="220"/>
      <c r="R25" s="23" t="s">
        <v>2</v>
      </c>
      <c r="S25" s="7" t="s">
        <v>35</v>
      </c>
      <c r="T25" s="23"/>
      <c r="U25" s="1"/>
      <c r="V25" s="1"/>
      <c r="W25" s="1"/>
      <c r="X25" s="1"/>
      <c r="Y25" s="1"/>
      <c r="Z25" s="1"/>
      <c r="AA25" s="1"/>
      <c r="AB25" s="1"/>
    </row>
    <row r="26" spans="1:28" ht="12" customHeight="1">
      <c r="A26" s="24" t="str">
        <f t="shared" ref="A26:A28" si="0">IF($D$11=0," ",0.5*$D$9/$D$11)</f>
        <v xml:space="preserve"> </v>
      </c>
      <c r="B26" s="282">
        <f t="shared" ref="B26:B28" si="1">0.5*$D$9</f>
        <v>0</v>
      </c>
      <c r="C26" s="220"/>
      <c r="D26" s="24" t="str">
        <f t="shared" ref="D26:D28" si="2">IF($D$11=0," ",E26/$D$11)</f>
        <v xml:space="preserve"> </v>
      </c>
      <c r="E26" s="284"/>
      <c r="F26" s="216"/>
      <c r="G26" s="285"/>
      <c r="H26" s="216"/>
      <c r="I26" s="268" t="str">
        <f t="shared" ref="I26:I28" si="3">IF(G26=0," ",ROUND((G26-E26),4))</f>
        <v xml:space="preserve"> </v>
      </c>
      <c r="J26" s="220"/>
      <c r="K26" s="98">
        <f t="shared" ref="K26:K29" si="4">L26*$D$11</f>
        <v>0</v>
      </c>
      <c r="L26" s="26">
        <f t="shared" ref="L26:L28" si="5">IF(D26=" ",0,
IF($M$3="III", IF(D26&lt;=500,0.5,(IF(D26&lt;=2000,1,IF(D26&gt;2000,1.5," ")))),
IF($M$3="IV", IF(D26&lt;=50,0.5,(IF(D26&lt;=200,1,IF(D26&gt;200,1.5," "))))
)))</f>
        <v>0</v>
      </c>
      <c r="M26" s="27" t="str">
        <f t="shared" ref="M26:M33" si="6">IF(I26&lt;=K26,"Y","N")</f>
        <v>N</v>
      </c>
      <c r="N26" s="270" t="str">
        <f t="shared" ref="N26:N28" si="7">IF(E26=0," ",ROUND(I26/$D$11,2))</f>
        <v xml:space="preserve"> </v>
      </c>
      <c r="O26" s="220"/>
      <c r="R26" s="23"/>
      <c r="S26" s="23"/>
      <c r="T26" s="1" t="s">
        <v>36</v>
      </c>
      <c r="U26" s="1"/>
      <c r="V26" s="1"/>
      <c r="W26" s="1"/>
      <c r="X26" s="1"/>
      <c r="Y26" s="1" t="s">
        <v>37</v>
      </c>
      <c r="Z26" s="1"/>
      <c r="AA26" s="1"/>
      <c r="AB26" s="1"/>
    </row>
    <row r="27" spans="1:28" ht="12" customHeight="1">
      <c r="A27" s="24" t="str">
        <f t="shared" si="0"/>
        <v xml:space="preserve"> </v>
      </c>
      <c r="B27" s="282">
        <f t="shared" si="1"/>
        <v>0</v>
      </c>
      <c r="C27" s="220"/>
      <c r="D27" s="24" t="str">
        <f t="shared" si="2"/>
        <v xml:space="preserve"> </v>
      </c>
      <c r="E27" s="282">
        <f>E26</f>
        <v>0</v>
      </c>
      <c r="F27" s="220"/>
      <c r="G27" s="285"/>
      <c r="H27" s="216"/>
      <c r="I27" s="268" t="str">
        <f t="shared" si="3"/>
        <v xml:space="preserve"> </v>
      </c>
      <c r="J27" s="220"/>
      <c r="K27" s="98">
        <f t="shared" si="4"/>
        <v>0</v>
      </c>
      <c r="L27" s="26">
        <f t="shared" si="5"/>
        <v>0</v>
      </c>
      <c r="M27" s="27" t="str">
        <f t="shared" si="6"/>
        <v>N</v>
      </c>
      <c r="N27" s="270" t="str">
        <f t="shared" si="7"/>
        <v xml:space="preserve"> </v>
      </c>
      <c r="O27" s="220"/>
      <c r="P27" s="1"/>
      <c r="Q27" s="1"/>
      <c r="R27" s="1"/>
      <c r="S27" s="1"/>
      <c r="T27" s="1"/>
      <c r="U27" s="1"/>
      <c r="V27" s="1"/>
      <c r="W27" s="1"/>
      <c r="X27" s="1"/>
      <c r="Y27" s="1"/>
      <c r="Z27" s="1"/>
      <c r="AA27" s="1"/>
      <c r="AB27" s="1"/>
    </row>
    <row r="28" spans="1:28" ht="12" customHeight="1">
      <c r="A28" s="24" t="str">
        <f t="shared" si="0"/>
        <v xml:space="preserve"> </v>
      </c>
      <c r="B28" s="282">
        <f t="shared" si="1"/>
        <v>0</v>
      </c>
      <c r="C28" s="220"/>
      <c r="D28" s="24" t="str">
        <f t="shared" si="2"/>
        <v xml:space="preserve"> </v>
      </c>
      <c r="E28" s="282">
        <f>E26</f>
        <v>0</v>
      </c>
      <c r="F28" s="220"/>
      <c r="G28" s="285"/>
      <c r="H28" s="216"/>
      <c r="I28" s="268" t="str">
        <f t="shared" si="3"/>
        <v xml:space="preserve"> </v>
      </c>
      <c r="J28" s="220"/>
      <c r="K28" s="98">
        <f t="shared" si="4"/>
        <v>0</v>
      </c>
      <c r="L28" s="26">
        <f t="shared" si="5"/>
        <v>0</v>
      </c>
      <c r="M28" s="27" t="str">
        <f t="shared" si="6"/>
        <v>N</v>
      </c>
      <c r="N28" s="270" t="str">
        <f t="shared" si="7"/>
        <v xml:space="preserve"> </v>
      </c>
      <c r="O28" s="220"/>
      <c r="P28" s="1"/>
      <c r="Q28" s="1"/>
      <c r="R28" s="1" t="s">
        <v>0</v>
      </c>
      <c r="S28" s="1" t="s">
        <v>38</v>
      </c>
      <c r="T28" s="1"/>
      <c r="U28" s="1"/>
      <c r="V28" s="1"/>
      <c r="W28" s="1"/>
      <c r="X28" s="1" t="s">
        <v>39</v>
      </c>
      <c r="Y28" s="1"/>
      <c r="Z28" s="1"/>
      <c r="AA28" s="1"/>
      <c r="AB28" s="1"/>
    </row>
    <row r="29" spans="1:28" ht="12" customHeight="1">
      <c r="A29" s="1"/>
      <c r="B29" s="99"/>
      <c r="C29" s="99"/>
      <c r="D29" s="1"/>
      <c r="E29" s="99"/>
      <c r="F29" s="99"/>
      <c r="G29" s="231" t="s">
        <v>148</v>
      </c>
      <c r="H29" s="220"/>
      <c r="I29" s="268">
        <f>IF(G26=0,0,ROUND((MAX(G26:H28)-MIN(G26:H28)),4))</f>
        <v>0</v>
      </c>
      <c r="J29" s="220"/>
      <c r="K29" s="98">
        <f t="shared" si="4"/>
        <v>0</v>
      </c>
      <c r="L29" s="26">
        <f>IF(OR(D26=" ",D27=" ",D28=" "),0,
IF($M$3="III", IF(AND(D26&lt;=500,D27&lt;=500,D28&lt;=500),0.5,(IF(AND(D26&lt;=2000,D27&lt;=2000,D28&lt;=2000),1,IF(AND(D26&gt;2000,D27&gt;2000,D28&gt;2000),1.5," ")))),
IF($M$3="IV", IF(AND(D26&lt;=50,D27&lt;=50,D28&lt;=50),0.5,(IF(AND(D26&lt;=200,D27&lt;=200,D28&lt;=200),1,IF(AND(D26&gt;200,D27&gt;200,D28&gt;200),1.5," "))))
)))</f>
        <v>0</v>
      </c>
      <c r="M29" s="27" t="str">
        <f t="shared" si="6"/>
        <v>Y</v>
      </c>
      <c r="P29" s="1"/>
      <c r="Q29" s="1"/>
      <c r="R29" s="1"/>
      <c r="S29" s="236" t="s">
        <v>41</v>
      </c>
      <c r="T29" s="237"/>
      <c r="U29" s="237"/>
      <c r="V29" s="237"/>
      <c r="W29" s="237"/>
      <c r="X29" s="237"/>
      <c r="Y29" s="1"/>
      <c r="Z29" s="1"/>
      <c r="AA29" s="1"/>
      <c r="AB29" s="1"/>
    </row>
    <row r="30" spans="1:28" ht="12" customHeight="1">
      <c r="A30" s="24" t="str">
        <f t="shared" ref="A30:A32" si="8">IF($D$11=0," ",0.5*$D$10/$D$12)</f>
        <v xml:space="preserve"> </v>
      </c>
      <c r="B30" s="282">
        <f t="shared" ref="B30:B32" si="9">0.5*$D$10</f>
        <v>0</v>
      </c>
      <c r="C30" s="220"/>
      <c r="D30" s="24" t="str">
        <f t="shared" ref="D30:D32" si="10">IF($D$12=0," ",E30/$D$12)</f>
        <v xml:space="preserve"> </v>
      </c>
      <c r="E30" s="284"/>
      <c r="F30" s="216"/>
      <c r="G30" s="285"/>
      <c r="H30" s="216"/>
      <c r="I30" s="268" t="str">
        <f t="shared" ref="I30:I32" si="11">IF(G30=0," ",ROUND((G30-E30),4))</f>
        <v xml:space="preserve"> </v>
      </c>
      <c r="J30" s="220"/>
      <c r="K30" s="98">
        <f t="shared" ref="K30:K33" si="12">L30*$D$12</f>
        <v>0</v>
      </c>
      <c r="L30" s="26">
        <f t="shared" ref="L30:L32" si="13">IF(D30=" ",0,
IF($M$3="III", IF(D30&lt;=500,0.5,(IF(D30&lt;=2000,1,IF(D30&gt;2000,1.5," ")))),
IF($M$3="IV", IF(D30&lt;=50,0.5,(IF(D30&lt;=200,1,IF(D30&gt;200,1.5," ")))),
)))</f>
        <v>0</v>
      </c>
      <c r="M30" s="27" t="str">
        <f t="shared" si="6"/>
        <v>N</v>
      </c>
      <c r="N30" s="270" t="str">
        <f t="shared" ref="N30:N32" si="14">IF(E30=0," ",ROUND(I30/$D$12,2))</f>
        <v xml:space="preserve"> </v>
      </c>
      <c r="O30" s="220"/>
      <c r="P30" s="1"/>
      <c r="Q30" s="1"/>
      <c r="R30" s="1"/>
      <c r="S30" s="237"/>
      <c r="T30" s="237"/>
      <c r="U30" s="237"/>
      <c r="V30" s="237"/>
      <c r="W30" s="237"/>
      <c r="X30" s="237"/>
      <c r="Y30" s="1"/>
      <c r="Z30" s="9" t="s">
        <v>42</v>
      </c>
      <c r="AA30" s="1"/>
      <c r="AB30" s="1"/>
    </row>
    <row r="31" spans="1:28" ht="12" customHeight="1">
      <c r="A31" s="24" t="str">
        <f t="shared" si="8"/>
        <v xml:space="preserve"> </v>
      </c>
      <c r="B31" s="282">
        <f t="shared" si="9"/>
        <v>0</v>
      </c>
      <c r="C31" s="220"/>
      <c r="D31" s="24" t="str">
        <f t="shared" si="10"/>
        <v xml:space="preserve"> </v>
      </c>
      <c r="E31" s="282">
        <f>E30</f>
        <v>0</v>
      </c>
      <c r="F31" s="220"/>
      <c r="G31" s="285"/>
      <c r="H31" s="216"/>
      <c r="I31" s="268" t="str">
        <f t="shared" si="11"/>
        <v xml:space="preserve"> </v>
      </c>
      <c r="J31" s="220"/>
      <c r="K31" s="98">
        <f t="shared" si="12"/>
        <v>0</v>
      </c>
      <c r="L31" s="26">
        <f t="shared" si="13"/>
        <v>0</v>
      </c>
      <c r="M31" s="27" t="str">
        <f t="shared" si="6"/>
        <v>N</v>
      </c>
      <c r="N31" s="270" t="str">
        <f t="shared" si="14"/>
        <v xml:space="preserve"> </v>
      </c>
      <c r="O31" s="220"/>
      <c r="P31" s="1"/>
      <c r="Q31" s="13" t="str">
        <f>IF(AND(N26&gt;=N27,N26&gt;=N28,N26&gt;=N30,N26&gt;=N31,N26&gt;=N32),N26,IF(AND(N27&gt;=N26,N27&gt;=N28,N27&gt;=N30,N27&gt;=N31,N27&gt;=N32),N27,IF(AND(N28&gt;=N26,N28&gt;=N27,N28&gt;=N30,N28&gt;=N31,N28&gt;=N32),N28,IF(AND(N30&gt;=N26,N30&gt;=N27,N30&gt;=N28,N30&gt;=N31,N30&gt;=N32),N30,IF(AND(N31&gt;=N26,N31&gt;=N27,N31&gt;=N28,N31&gt;=N30,N31&gt;=N32),N31,IF(AND(N32&gt;=N26,N32&gt;=N27,N32&gt;=N28,N32&gt;=N30,N32&gt;=N31),N32))))))</f>
        <v xml:space="preserve"> </v>
      </c>
      <c r="R31" s="23" t="s">
        <v>2</v>
      </c>
      <c r="S31" s="1" t="s">
        <v>43</v>
      </c>
      <c r="T31" s="1"/>
      <c r="U31" s="1"/>
      <c r="V31" s="1"/>
      <c r="W31" s="1"/>
      <c r="X31" s="14" t="s">
        <v>149</v>
      </c>
      <c r="Y31" s="14"/>
      <c r="Z31" s="14"/>
      <c r="AA31" s="14"/>
      <c r="AB31" s="14"/>
    </row>
    <row r="32" spans="1:28" ht="12" customHeight="1">
      <c r="A32" s="24" t="str">
        <f t="shared" si="8"/>
        <v xml:space="preserve"> </v>
      </c>
      <c r="B32" s="282">
        <f t="shared" si="9"/>
        <v>0</v>
      </c>
      <c r="C32" s="220"/>
      <c r="D32" s="24" t="str">
        <f t="shared" si="10"/>
        <v xml:space="preserve"> </v>
      </c>
      <c r="E32" s="282">
        <f>E30</f>
        <v>0</v>
      </c>
      <c r="F32" s="220"/>
      <c r="G32" s="285"/>
      <c r="H32" s="216"/>
      <c r="I32" s="268" t="str">
        <f t="shared" si="11"/>
        <v xml:space="preserve"> </v>
      </c>
      <c r="J32" s="220"/>
      <c r="K32" s="98">
        <f t="shared" si="12"/>
        <v>0</v>
      </c>
      <c r="L32" s="26">
        <f t="shared" si="13"/>
        <v>0</v>
      </c>
      <c r="M32" s="27" t="str">
        <f t="shared" si="6"/>
        <v>N</v>
      </c>
      <c r="N32" s="270" t="str">
        <f t="shared" si="14"/>
        <v xml:space="preserve"> </v>
      </c>
      <c r="O32" s="220"/>
      <c r="P32" s="1"/>
      <c r="Q32" s="1"/>
      <c r="R32" s="1"/>
      <c r="S32" s="236" t="s">
        <v>45</v>
      </c>
      <c r="T32" s="237"/>
      <c r="U32" s="237"/>
      <c r="V32" s="237"/>
      <c r="W32" s="237"/>
      <c r="X32" s="237"/>
      <c r="Y32" s="1" t="s">
        <v>46</v>
      </c>
      <c r="Z32" s="1"/>
      <c r="AA32" s="1"/>
      <c r="AB32" s="1"/>
    </row>
    <row r="33" spans="1:28" ht="12" customHeight="1">
      <c r="A33" s="28"/>
      <c r="B33" s="100"/>
      <c r="C33" s="101"/>
      <c r="D33" s="28"/>
      <c r="E33" s="100"/>
      <c r="F33" s="101"/>
      <c r="G33" s="231" t="s">
        <v>150</v>
      </c>
      <c r="H33" s="220"/>
      <c r="I33" s="268">
        <f>IF(G30=0,0,ROUND((MAX(G30:H32)-MIN(G30:H32)),4))</f>
        <v>0</v>
      </c>
      <c r="J33" s="220"/>
      <c r="K33" s="98">
        <f t="shared" si="12"/>
        <v>0</v>
      </c>
      <c r="L33" s="26">
        <f>IF(OR(D30=" ",D31=" ",D32=" "),0,
IF($M$3="III", IF(AND(D30&lt;=500,D31&lt;=500,D32&lt;=500),0.5,(IF(AND(D30&lt;=2000,D31&lt;=2000,D32&lt;=2000),1,IF(AND(D30&gt;2000,D31&gt;2000,D32&gt;2000),1.5," ")))),
IF($M$3="IV", IF(AND(D30&lt;=500,D31&lt;=500,D32&lt;=500),0.5,(IF(AND(D30&lt;=2000,D31&lt;=2000,D32&lt;=2000),1,IF(AND(D30&gt;2000,D31&gt;2000,D32&gt;2000),1.5," "))))
)))</f>
        <v>0</v>
      </c>
      <c r="M33" s="27" t="str">
        <f t="shared" si="6"/>
        <v>Y</v>
      </c>
      <c r="N33" s="43"/>
      <c r="O33" s="43"/>
      <c r="P33" s="1"/>
      <c r="Q33" s="1"/>
      <c r="R33" s="1"/>
      <c r="S33" s="237"/>
      <c r="T33" s="237"/>
      <c r="U33" s="237"/>
      <c r="V33" s="237"/>
      <c r="W33" s="237"/>
      <c r="X33" s="237"/>
      <c r="Y33" s="1"/>
      <c r="Z33" s="1"/>
      <c r="AA33" s="1"/>
      <c r="AB33" s="1"/>
    </row>
    <row r="34" spans="1:28" ht="12" customHeight="1">
      <c r="A34" s="1"/>
      <c r="B34" s="1"/>
      <c r="C34" s="1"/>
      <c r="D34" s="1"/>
      <c r="E34" s="1"/>
      <c r="F34" s="1"/>
      <c r="G34" s="1"/>
      <c r="H34" s="1"/>
      <c r="I34" s="1"/>
      <c r="J34" s="224" t="str">
        <f>IF($D$14="English","Test passed?","Test bestanden?")</f>
        <v>Test passed?</v>
      </c>
      <c r="K34" s="225"/>
      <c r="L34" s="226"/>
      <c r="M34" s="27" t="str">
        <f>IF(AND(M26="Y",M27="Y",M28="Y",M29="Y",M30="Y",M31="Y",M32="Y",M33="Y"),"Y","N")</f>
        <v>N</v>
      </c>
      <c r="N34" s="1"/>
      <c r="O34" s="1"/>
      <c r="P34" s="1"/>
      <c r="Q34" s="1"/>
      <c r="R34" s="1"/>
      <c r="S34" s="237"/>
      <c r="T34" s="237"/>
      <c r="U34" s="237"/>
      <c r="V34" s="237"/>
      <c r="W34" s="237"/>
      <c r="X34" s="237"/>
      <c r="Y34" s="1"/>
      <c r="Z34" s="1"/>
      <c r="AA34" s="1"/>
      <c r="AB34" s="1"/>
    </row>
    <row r="35" spans="1:28" ht="14.25" customHeight="1">
      <c r="A35" s="1"/>
      <c r="B35" s="1"/>
      <c r="C35" s="1"/>
      <c r="D35" s="1" t="e">
        <f>IF(#REF!="deutsch","Anteil Eichgewichte:","Contingent of standard weights:")</f>
        <v>#REF!</v>
      </c>
      <c r="E35" s="85"/>
      <c r="F35" s="85"/>
      <c r="G35" s="13"/>
      <c r="H35" s="13"/>
      <c r="I35" s="7" t="str">
        <f>IF(OR(D11=0,D12=0)," ",IF(AND(ROUND(I29/D11,2)&lt;=0.2,ROUND(I33/D12,2)&lt;=0.2),"1/5 Max",IF(AND(ROUND(I29/D11,2)&lt;=0.3,ROUND(I33/D12,2)&lt;=0.3),"1/3 Max","1/2 Max")))</f>
        <v xml:space="preserve"> </v>
      </c>
      <c r="J35" s="13"/>
      <c r="K35" s="86" t="s">
        <v>85</v>
      </c>
      <c r="L35" s="273" t="str">
        <f>IF(OR(D11=0,D12=0)," ",IF(AND(ROUND(I29/D11,2)&lt;=0.2,ROUND(I33/D12,2)&lt;=0.2),D10/5,IF(AND(ROUND(I29/D11,2)&lt;=0.3,ROUND(I33/D12,2)&lt;=0.3),D10/3,D10/2)))</f>
        <v xml:space="preserve"> </v>
      </c>
      <c r="M35" s="237"/>
      <c r="N35" s="237"/>
      <c r="O35" s="13" t="s">
        <v>11</v>
      </c>
      <c r="P35" s="1"/>
      <c r="Q35" s="1"/>
      <c r="R35" s="88"/>
      <c r="S35" s="1"/>
      <c r="AA35" s="1"/>
      <c r="AB35" s="1"/>
    </row>
    <row r="36" spans="1:28" ht="14.25" customHeight="1">
      <c r="A36" s="1"/>
      <c r="B36" s="1"/>
      <c r="C36" s="1"/>
      <c r="D36" s="1"/>
      <c r="E36" s="85"/>
      <c r="F36" s="85"/>
      <c r="G36" s="13"/>
      <c r="H36" s="13"/>
      <c r="I36" s="88"/>
      <c r="J36" s="13"/>
      <c r="K36" s="86"/>
      <c r="L36" s="87"/>
      <c r="M36" s="89"/>
      <c r="N36" s="13"/>
      <c r="O36" s="13"/>
      <c r="P36" s="1"/>
      <c r="Q36" s="1"/>
      <c r="R36" s="88"/>
      <c r="S36" s="1"/>
      <c r="AA36" s="1"/>
      <c r="AB36" s="1"/>
    </row>
    <row r="37" spans="1:28" ht="15.75" customHeight="1">
      <c r="A37" s="7" t="str">
        <f>IF($D$14="English","2.  Accuracy of Zero Device (hi-res mode: off):","2.  Prüfung der Genauigkeit der Nullstellung (Hi-Res-Modus aus):")</f>
        <v>2.  Accuracy of Zero Device (hi-res mode: off):</v>
      </c>
      <c r="B37" s="1"/>
      <c r="C37" s="1"/>
      <c r="D37" s="1"/>
      <c r="E37" s="1"/>
      <c r="F37" s="1"/>
      <c r="G37" s="1"/>
      <c r="H37" s="1" t="str">
        <f>IF($D$14="English","accordance to EN45501-2015, A.4.2.3","gemäß EN45501-2015, A.4.2.3")</f>
        <v>accordance to EN45501-2015, A.4.2.3</v>
      </c>
      <c r="I37" s="1"/>
      <c r="J37" s="1"/>
      <c r="K37" s="1"/>
      <c r="L37" s="30"/>
      <c r="M37" s="1"/>
      <c r="N37" s="1"/>
      <c r="O37" s="1"/>
      <c r="P37" s="1"/>
      <c r="Q37" s="1"/>
      <c r="R37" s="1"/>
      <c r="S37" s="1"/>
      <c r="T37" s="1"/>
      <c r="U37" s="1"/>
      <c r="V37" s="1"/>
      <c r="W37" s="1"/>
      <c r="X37" s="1"/>
      <c r="Y37" s="1"/>
      <c r="Z37" s="1"/>
      <c r="AA37" s="1"/>
      <c r="AB37" s="1"/>
    </row>
    <row r="38" spans="1:28" ht="12" customHeight="1">
      <c r="A38" s="231" t="s">
        <v>48</v>
      </c>
      <c r="B38" s="223"/>
      <c r="C38" s="223"/>
      <c r="D38" s="220"/>
      <c r="E38" s="231" t="s">
        <v>49</v>
      </c>
      <c r="F38" s="223"/>
      <c r="G38" s="220"/>
      <c r="H38" s="231" t="s">
        <v>29</v>
      </c>
      <c r="I38" s="223"/>
      <c r="J38" s="220"/>
      <c r="K38" s="19" t="s">
        <v>30</v>
      </c>
      <c r="L38" s="1"/>
      <c r="M38" s="1"/>
      <c r="N38" s="1"/>
      <c r="O38" s="1"/>
      <c r="P38" s="1"/>
      <c r="Q38" s="1"/>
      <c r="R38" s="1"/>
      <c r="S38" s="1"/>
      <c r="T38" s="1"/>
      <c r="U38" s="1"/>
      <c r="V38" s="1"/>
      <c r="W38" s="1"/>
      <c r="X38" s="1"/>
      <c r="Y38" s="1"/>
      <c r="Z38" s="1"/>
      <c r="AA38" s="1"/>
      <c r="AB38" s="1"/>
    </row>
    <row r="39" spans="1:28" ht="12.75" customHeight="1">
      <c r="A39" s="231" t="s">
        <v>33</v>
      </c>
      <c r="B39" s="223"/>
      <c r="C39" s="223"/>
      <c r="D39" s="220"/>
      <c r="E39" s="231" t="s">
        <v>33</v>
      </c>
      <c r="F39" s="223"/>
      <c r="G39" s="220"/>
      <c r="H39" s="231" t="s">
        <v>33</v>
      </c>
      <c r="I39" s="220"/>
      <c r="J39" s="19" t="s">
        <v>32</v>
      </c>
      <c r="K39" s="19" t="s">
        <v>34</v>
      </c>
      <c r="L39" s="1"/>
      <c r="M39" s="1"/>
      <c r="N39" s="1"/>
      <c r="O39" s="1"/>
      <c r="P39" s="1"/>
      <c r="Q39" s="1"/>
      <c r="R39" s="1"/>
      <c r="S39" s="1"/>
      <c r="T39" s="1"/>
      <c r="U39" s="1"/>
      <c r="V39" s="1"/>
      <c r="W39" s="1"/>
      <c r="X39" s="1"/>
      <c r="Y39" s="1"/>
      <c r="Z39" s="1"/>
      <c r="AA39" s="1"/>
      <c r="AB39" s="1"/>
    </row>
    <row r="40" spans="1:28" ht="12" customHeight="1">
      <c r="A40" s="286"/>
      <c r="B40" s="215"/>
      <c r="C40" s="215"/>
      <c r="D40" s="216"/>
      <c r="E40" s="268">
        <f>0.5*$D$11-$A$40</f>
        <v>0</v>
      </c>
      <c r="F40" s="223"/>
      <c r="G40" s="220"/>
      <c r="H40" s="270">
        <f>J40*$D$11</f>
        <v>0</v>
      </c>
      <c r="I40" s="220"/>
      <c r="J40" s="24">
        <v>0.25</v>
      </c>
      <c r="K40" s="27" t="str">
        <f>IF(D40=" ","N",IF(H40&gt;=ABS($E40),"Y","N"))</f>
        <v>Y</v>
      </c>
      <c r="R40" s="1"/>
      <c r="S40" s="1"/>
      <c r="T40" s="1"/>
      <c r="U40" s="1"/>
      <c r="V40" s="1"/>
      <c r="W40" s="1"/>
      <c r="X40" s="1"/>
      <c r="Y40" s="1"/>
      <c r="Z40" s="1"/>
      <c r="AA40" s="1"/>
      <c r="AB40" s="1"/>
    </row>
    <row r="41" spans="1:28" ht="12" customHeight="1">
      <c r="A41" s="7"/>
      <c r="B41" s="7"/>
      <c r="C41" s="1"/>
      <c r="D41" s="1"/>
      <c r="E41" s="1"/>
      <c r="F41" s="1"/>
      <c r="G41" s="1"/>
      <c r="H41" s="1"/>
      <c r="I41" s="1"/>
      <c r="J41" s="6" t="str">
        <f>IF($D$14="English","Test passed?","Test bestanden?")</f>
        <v>Test passed?</v>
      </c>
      <c r="K41" s="27" t="str">
        <f>IF(K40="Y","Y","N")</f>
        <v>Y</v>
      </c>
      <c r="R41" s="1"/>
      <c r="S41" s="1"/>
      <c r="T41" s="1"/>
      <c r="U41" s="1"/>
      <c r="V41" s="1"/>
      <c r="W41" s="1"/>
      <c r="X41" s="1"/>
      <c r="Y41" s="1"/>
      <c r="Z41" s="1"/>
      <c r="AA41" s="1"/>
      <c r="AB41" s="1"/>
    </row>
    <row r="42" spans="1:28" ht="12" customHeight="1">
      <c r="A42" s="7"/>
      <c r="B42" s="1"/>
      <c r="C42" s="1"/>
      <c r="D42" s="1"/>
      <c r="E42" s="1"/>
      <c r="F42" s="1"/>
      <c r="G42" s="1"/>
      <c r="H42" s="1"/>
      <c r="I42" s="1"/>
      <c r="J42" s="1"/>
      <c r="K42" s="1"/>
      <c r="L42" s="30"/>
      <c r="M42" s="1"/>
      <c r="R42" s="1"/>
      <c r="S42" s="1"/>
      <c r="T42" s="1"/>
      <c r="U42" s="1"/>
      <c r="V42" s="1"/>
      <c r="W42" s="1"/>
      <c r="X42" s="1"/>
      <c r="Y42" s="1"/>
      <c r="Z42" s="1"/>
      <c r="AA42" s="1"/>
      <c r="AB42" s="1"/>
    </row>
    <row r="43" spans="1:28" ht="12" customHeight="1">
      <c r="A43" s="7" t="str">
        <f>IF($D$14="English","3.  Accuracy of Tare Device  (hi-res mode: off):","3.  Genauigkeit der Tarierung  (Hi-Res-Modus: aus):")</f>
        <v>3.  Accuracy of Tare Device  (hi-res mode: off):</v>
      </c>
      <c r="B43" s="31"/>
      <c r="C43" s="32"/>
      <c r="D43" s="1"/>
      <c r="E43" s="1"/>
      <c r="F43" s="1"/>
      <c r="G43" s="1" t="str">
        <f>IF($D$14="English","accordance to EN45501-2015, A.4.6.2","gemäß EN45501-2015, A.4.6.2")</f>
        <v>accordance to EN45501-2015, A.4.6.2</v>
      </c>
      <c r="H43" s="1"/>
      <c r="J43" s="17"/>
      <c r="K43" s="1"/>
      <c r="L43" s="1"/>
      <c r="M43" s="33" t="s">
        <v>50</v>
      </c>
      <c r="O43" s="34"/>
      <c r="R43" s="1"/>
      <c r="S43" s="1"/>
      <c r="T43" s="1"/>
      <c r="U43" s="1"/>
      <c r="V43" s="1"/>
      <c r="W43" s="1"/>
      <c r="X43" s="1"/>
      <c r="Y43" s="1"/>
      <c r="Z43" s="1"/>
      <c r="AA43" s="1"/>
      <c r="AB43" s="1"/>
    </row>
    <row r="44" spans="1:28" ht="12" customHeight="1">
      <c r="A44" s="1"/>
      <c r="B44" s="31"/>
      <c r="C44" s="32"/>
      <c r="D44" s="1"/>
      <c r="E44" s="1"/>
      <c r="F44" s="1"/>
      <c r="G44" s="6"/>
      <c r="H44" s="1"/>
      <c r="J44" s="17"/>
      <c r="K44" s="1"/>
      <c r="L44" s="1"/>
      <c r="M44" s="1"/>
      <c r="N44" s="1"/>
      <c r="O44" s="1"/>
      <c r="P44" s="1"/>
      <c r="Q44" s="1"/>
      <c r="R44" s="1"/>
      <c r="S44" s="1"/>
      <c r="T44" s="1"/>
      <c r="U44" s="1"/>
      <c r="V44" s="1"/>
      <c r="W44" s="1"/>
      <c r="X44" s="1"/>
      <c r="Y44" s="1"/>
      <c r="Z44" s="1"/>
      <c r="AA44" s="1"/>
      <c r="AB44" s="1"/>
    </row>
    <row r="45" spans="1:28" ht="12" customHeight="1">
      <c r="A45" s="231" t="s">
        <v>48</v>
      </c>
      <c r="B45" s="223"/>
      <c r="C45" s="223"/>
      <c r="D45" s="220"/>
      <c r="E45" s="231" t="s">
        <v>51</v>
      </c>
      <c r="F45" s="223"/>
      <c r="G45" s="220"/>
      <c r="H45" s="231" t="s">
        <v>29</v>
      </c>
      <c r="I45" s="220"/>
      <c r="J45" s="19" t="s">
        <v>30</v>
      </c>
      <c r="K45" s="1"/>
      <c r="L45" s="1"/>
      <c r="M45" s="1"/>
      <c r="N45" s="1"/>
      <c r="O45" s="1"/>
      <c r="P45" s="1"/>
      <c r="Q45" s="1"/>
      <c r="R45" s="1"/>
      <c r="S45" s="1"/>
      <c r="T45" s="1"/>
      <c r="U45" s="1"/>
      <c r="V45" s="1"/>
      <c r="W45" s="1"/>
      <c r="X45" s="1"/>
      <c r="Y45" s="1"/>
      <c r="Z45" s="1"/>
      <c r="AA45" s="1"/>
      <c r="AB45" s="1"/>
    </row>
    <row r="46" spans="1:28" ht="12" customHeight="1">
      <c r="A46" s="231" t="s">
        <v>33</v>
      </c>
      <c r="B46" s="223"/>
      <c r="C46" s="223"/>
      <c r="D46" s="220"/>
      <c r="E46" s="231" t="s">
        <v>33</v>
      </c>
      <c r="F46" s="223"/>
      <c r="G46" s="220"/>
      <c r="H46" s="19" t="s">
        <v>33</v>
      </c>
      <c r="I46" s="21" t="s">
        <v>32</v>
      </c>
      <c r="J46" s="19" t="s">
        <v>34</v>
      </c>
      <c r="K46" s="1"/>
      <c r="L46" s="1"/>
      <c r="M46" s="1"/>
      <c r="N46" s="1"/>
      <c r="O46" s="1"/>
      <c r="P46" s="1"/>
      <c r="Q46" s="1"/>
      <c r="R46" s="1"/>
      <c r="S46" s="1"/>
      <c r="T46" s="1"/>
      <c r="U46" s="1"/>
      <c r="V46" s="1"/>
      <c r="W46" s="1"/>
      <c r="X46" s="1"/>
      <c r="Y46" s="1"/>
      <c r="Z46" s="1"/>
      <c r="AA46" s="1"/>
      <c r="AB46" s="1"/>
    </row>
    <row r="47" spans="1:28" ht="12" customHeight="1">
      <c r="A47" s="286"/>
      <c r="B47" s="215"/>
      <c r="C47" s="215"/>
      <c r="D47" s="216"/>
      <c r="E47" s="268" t="str">
        <f>IF(A47=0," ",0.5*$D$11-$A$47)</f>
        <v xml:space="preserve"> </v>
      </c>
      <c r="F47" s="223"/>
      <c r="G47" s="220"/>
      <c r="H47" s="90">
        <f>I47*$D$11</f>
        <v>0</v>
      </c>
      <c r="I47" s="36">
        <v>0.25</v>
      </c>
      <c r="J47" s="27" t="str">
        <f>IF(A47=0," ",IF(H47&gt;=ABS($E47),"Y","N"))</f>
        <v xml:space="preserve"> </v>
      </c>
      <c r="K47" s="1"/>
      <c r="L47" s="1"/>
      <c r="M47" s="1"/>
      <c r="N47" s="1"/>
      <c r="O47" s="1"/>
      <c r="P47" s="1"/>
      <c r="Q47" s="1"/>
      <c r="R47" s="1"/>
      <c r="S47" s="1"/>
      <c r="T47" s="1"/>
      <c r="U47" s="1"/>
      <c r="V47" s="1"/>
      <c r="W47" s="1"/>
      <c r="X47" s="1"/>
      <c r="Y47" s="1"/>
      <c r="Z47" s="1"/>
      <c r="AA47" s="1"/>
      <c r="AB47" s="1"/>
    </row>
    <row r="48" spans="1:28" ht="12" customHeight="1">
      <c r="A48" s="7"/>
      <c r="B48" s="7"/>
      <c r="C48" s="1"/>
      <c r="D48" s="1"/>
      <c r="E48" s="1"/>
      <c r="F48" s="1"/>
      <c r="G48" s="1"/>
      <c r="H48" s="1"/>
      <c r="I48" s="6" t="str">
        <f>IF($D$14="English","Test passed?","Test bestanden?")</f>
        <v>Test passed?</v>
      </c>
      <c r="J48" s="27" t="str">
        <f>IF(J47="Y","Y","N")</f>
        <v>N</v>
      </c>
      <c r="K48" s="1"/>
      <c r="L48" s="1"/>
      <c r="M48" s="1"/>
      <c r="N48" s="1"/>
      <c r="O48" s="1"/>
      <c r="P48" s="1"/>
      <c r="Q48" s="1"/>
      <c r="R48" s="1"/>
      <c r="S48" s="1"/>
      <c r="T48" s="1"/>
      <c r="U48" s="1"/>
      <c r="V48" s="1"/>
      <c r="W48" s="1"/>
      <c r="X48" s="1"/>
      <c r="Y48" s="1"/>
      <c r="Z48" s="1"/>
      <c r="AA48" s="1"/>
      <c r="AB48" s="1"/>
    </row>
    <row r="49" spans="1:28" ht="12" customHeight="1">
      <c r="A49" s="7"/>
      <c r="B49" s="7"/>
      <c r="C49" s="1"/>
      <c r="D49" s="1"/>
      <c r="E49" s="1"/>
      <c r="F49" s="1"/>
      <c r="G49" s="1"/>
      <c r="H49" s="1"/>
      <c r="I49" s="6"/>
      <c r="J49" s="140"/>
      <c r="K49" s="1"/>
      <c r="L49" s="1"/>
      <c r="M49" s="1"/>
      <c r="N49" s="1"/>
      <c r="O49" s="1"/>
      <c r="P49" s="1"/>
      <c r="Q49" s="1"/>
      <c r="R49" s="1"/>
      <c r="S49" s="1"/>
      <c r="T49" s="1"/>
      <c r="U49" s="1"/>
      <c r="V49" s="1"/>
      <c r="W49" s="1"/>
      <c r="X49" s="1"/>
      <c r="Y49" s="1"/>
      <c r="Z49" s="1"/>
      <c r="AA49" s="1"/>
      <c r="AB49" s="1"/>
    </row>
    <row r="50" spans="1:28" ht="12" customHeight="1">
      <c r="A50" s="7"/>
      <c r="B50" s="7"/>
      <c r="C50" s="1"/>
      <c r="D50" s="1"/>
      <c r="E50" s="1"/>
      <c r="F50" s="1"/>
      <c r="G50" s="1"/>
      <c r="H50" s="1"/>
      <c r="I50" s="6"/>
      <c r="J50" s="140"/>
      <c r="K50" s="1"/>
      <c r="L50" s="1"/>
      <c r="M50" s="1"/>
      <c r="N50" s="1"/>
      <c r="O50" s="1"/>
      <c r="P50" s="1"/>
      <c r="Q50" s="1"/>
      <c r="R50" s="1"/>
      <c r="S50" s="1"/>
      <c r="T50" s="1"/>
      <c r="U50" s="1"/>
      <c r="V50" s="1"/>
      <c r="W50" s="1"/>
      <c r="X50" s="1"/>
      <c r="Y50" s="1"/>
      <c r="Z50" s="1"/>
      <c r="AA50" s="1"/>
      <c r="AB50" s="1"/>
    </row>
    <row r="51" spans="1:28" ht="12" customHeight="1">
      <c r="A51" s="1"/>
      <c r="B51" s="1"/>
      <c r="C51" s="1"/>
      <c r="D51" s="1"/>
      <c r="E51" s="1"/>
      <c r="F51" s="1"/>
      <c r="G51" s="6"/>
      <c r="J51" s="17"/>
      <c r="K51" s="1"/>
      <c r="L51" s="1"/>
      <c r="M51" s="1"/>
      <c r="N51" s="1"/>
      <c r="O51" s="1"/>
      <c r="P51" s="1"/>
      <c r="Q51" s="1"/>
      <c r="R51" s="1"/>
      <c r="S51" s="1"/>
      <c r="T51" s="1"/>
      <c r="U51" s="1"/>
      <c r="V51" s="1"/>
      <c r="W51" s="1"/>
      <c r="X51" s="1"/>
      <c r="Y51" s="1"/>
      <c r="Z51" s="1"/>
      <c r="AA51" s="1"/>
      <c r="AB51" s="1"/>
    </row>
    <row r="52" spans="1:28" ht="12" customHeight="1">
      <c r="A52" s="165" t="str">
        <f>IF($D$14="English","4.  Weighing / Linearity Test (Indicator in hi-res mode):","4. Prüfung der Richtigkeit mit Normallast (Indikator in Hi-Res-Modus):")</f>
        <v>4.  Weighing / Linearity Test (Indicator in hi-res mode):</v>
      </c>
      <c r="B52" s="1"/>
      <c r="C52" s="6"/>
      <c r="D52" s="8"/>
      <c r="E52" s="8"/>
      <c r="F52" s="1"/>
      <c r="G52" s="1"/>
      <c r="H52" s="1" t="str">
        <f>IF($D$14="English","accordance to EN45501-2015, A.4.4.1","gemäß EN45501-2015, A.4.4.1")</f>
        <v>accordance to EN45501-2015, A.4.4.1</v>
      </c>
      <c r="I52" s="1"/>
      <c r="J52" s="1"/>
      <c r="K52" s="1"/>
      <c r="L52" s="1"/>
      <c r="M52" s="6"/>
      <c r="N52" s="1"/>
      <c r="O52" s="1"/>
      <c r="P52" s="1"/>
      <c r="Q52" s="1"/>
      <c r="R52" s="45"/>
      <c r="S52" s="46"/>
      <c r="T52" s="1"/>
      <c r="U52" s="1"/>
      <c r="V52" s="1"/>
      <c r="W52" s="1"/>
      <c r="X52" s="1"/>
      <c r="Y52" s="1"/>
      <c r="Z52" s="1"/>
      <c r="AA52" s="1"/>
      <c r="AB52" s="1"/>
    </row>
    <row r="53" spans="1:28" ht="12" customHeight="1">
      <c r="A53" s="234" t="str">
        <f>IF($D$14="English","load must be about","ungefähre Last")</f>
        <v>load must be about</v>
      </c>
      <c r="B53" s="223"/>
      <c r="C53" s="220"/>
      <c r="D53" s="231" t="s">
        <v>26</v>
      </c>
      <c r="E53" s="223"/>
      <c r="F53" s="220"/>
      <c r="G53" s="231" t="s">
        <v>27</v>
      </c>
      <c r="H53" s="220"/>
      <c r="I53" s="231" t="s">
        <v>28</v>
      </c>
      <c r="J53" s="220"/>
      <c r="K53" s="231" t="s">
        <v>29</v>
      </c>
      <c r="L53" s="220"/>
      <c r="M53" s="37" t="s">
        <v>151</v>
      </c>
      <c r="N53" s="91"/>
      <c r="O53" s="92"/>
      <c r="P53" s="231" t="s">
        <v>30</v>
      </c>
      <c r="Q53" s="220"/>
      <c r="R53" s="45"/>
      <c r="S53" s="46"/>
      <c r="T53" s="1"/>
      <c r="U53" s="1"/>
      <c r="V53" s="1"/>
      <c r="W53" s="1"/>
      <c r="X53" s="1"/>
      <c r="Y53" s="1"/>
      <c r="Z53" s="1"/>
      <c r="AA53" s="1"/>
      <c r="AB53" s="1"/>
    </row>
    <row r="54" spans="1:28" ht="12" customHeight="1">
      <c r="A54" s="19" t="s">
        <v>32</v>
      </c>
      <c r="B54" s="239" t="s">
        <v>33</v>
      </c>
      <c r="C54" s="220"/>
      <c r="D54" s="19" t="s">
        <v>32</v>
      </c>
      <c r="E54" s="239" t="s">
        <v>33</v>
      </c>
      <c r="F54" s="220"/>
      <c r="G54" s="231" t="s">
        <v>33</v>
      </c>
      <c r="H54" s="220"/>
      <c r="I54" s="231" t="s">
        <v>33</v>
      </c>
      <c r="J54" s="223"/>
      <c r="K54" s="19" t="s">
        <v>33</v>
      </c>
      <c r="L54" s="21" t="s">
        <v>32</v>
      </c>
      <c r="M54" s="231" t="s">
        <v>33</v>
      </c>
      <c r="N54" s="223"/>
      <c r="O54" s="220"/>
      <c r="P54" s="231" t="s">
        <v>34</v>
      </c>
      <c r="Q54" s="220"/>
      <c r="R54" s="45"/>
      <c r="S54" s="46"/>
      <c r="T54" s="1"/>
      <c r="U54" s="1"/>
      <c r="V54" s="1"/>
      <c r="W54" s="1"/>
      <c r="X54" s="1"/>
      <c r="Y54" s="1"/>
      <c r="Z54" s="1"/>
      <c r="AA54" s="1"/>
      <c r="AB54" s="1"/>
    </row>
    <row r="55" spans="1:28" ht="12" customHeight="1">
      <c r="A55" s="38">
        <v>10</v>
      </c>
      <c r="B55" s="282">
        <f>A55*$D$11</f>
        <v>0</v>
      </c>
      <c r="C55" s="220"/>
      <c r="D55" s="38" t="str">
        <f t="shared" ref="D55:D57" si="15">IF(E55=0," ",E55/$D$11)</f>
        <v xml:space="preserve"> </v>
      </c>
      <c r="E55" s="284"/>
      <c r="F55" s="216"/>
      <c r="G55" s="285"/>
      <c r="H55" s="216"/>
      <c r="I55" s="268" t="str">
        <f t="shared" ref="I55:I60" si="16">IF(G55=0," ",(G55-E55))</f>
        <v xml:space="preserve"> </v>
      </c>
      <c r="J55" s="220"/>
      <c r="K55" s="98">
        <f t="shared" ref="K55:K56" si="17">L55*$D$11</f>
        <v>0</v>
      </c>
      <c r="L55" s="26">
        <f t="shared" ref="L55:L69" si="18">IF(D55="-"," ",
IF($M$3="III", IF(D55&lt;=500,0.5,(IF(D55&lt;=2000,1,IF(D55&gt;2000,1.5," ")))),
IF($M$3="IV", IF(D55&lt;=50,0.5,(IF(D55&lt;=200,1,IF(D55&gt;200,1.5," "))))
)))</f>
        <v>1.5</v>
      </c>
      <c r="M55" s="270" t="str">
        <f t="shared" ref="M55:M57" si="19">IF(E55=0," ",IF($E$40=" "," ",I55-$E$40))</f>
        <v xml:space="preserve"> </v>
      </c>
      <c r="N55" s="223"/>
      <c r="O55" s="220"/>
      <c r="P55" s="222" t="str">
        <f t="shared" ref="P55:P69" si="20">IF(M55=" "," ",IF(ABS(M55)&lt;=K55,"Y","N"))</f>
        <v xml:space="preserve"> </v>
      </c>
      <c r="Q55" s="220"/>
      <c r="R55" s="45"/>
      <c r="S55" s="46"/>
      <c r="T55" s="1"/>
      <c r="U55" s="1"/>
      <c r="V55" s="1"/>
      <c r="W55" s="1"/>
      <c r="X55" s="1"/>
      <c r="Y55" s="1"/>
      <c r="Z55" s="1"/>
      <c r="AA55" s="1"/>
      <c r="AB55" s="1"/>
    </row>
    <row r="56" spans="1:28" ht="12" customHeight="1">
      <c r="A56" s="24" t="str">
        <f>IF($D$11=0,"-",IF($D$9/$D$11&lt;=500,100,IF($D$9/$D$11&lt;=1000,100,IF($D$9/$D$11&lt;=2000,200,500))))</f>
        <v>-</v>
      </c>
      <c r="B56" s="282" t="str">
        <f t="shared" ref="B56:B59" si="21">IF($D$11=0," ",A56*$D$11)</f>
        <v xml:space="preserve"> </v>
      </c>
      <c r="C56" s="220"/>
      <c r="D56" s="38" t="str">
        <f t="shared" si="15"/>
        <v xml:space="preserve"> </v>
      </c>
      <c r="E56" s="284"/>
      <c r="F56" s="216"/>
      <c r="G56" s="285"/>
      <c r="H56" s="216"/>
      <c r="I56" s="268" t="str">
        <f t="shared" si="16"/>
        <v xml:space="preserve"> </v>
      </c>
      <c r="J56" s="220"/>
      <c r="K56" s="98">
        <f t="shared" si="17"/>
        <v>0</v>
      </c>
      <c r="L56" s="26">
        <f t="shared" si="18"/>
        <v>1.5</v>
      </c>
      <c r="M56" s="270" t="str">
        <f t="shared" si="19"/>
        <v xml:space="preserve"> </v>
      </c>
      <c r="N56" s="223"/>
      <c r="O56" s="220"/>
      <c r="P56" s="222" t="str">
        <f t="shared" si="20"/>
        <v xml:space="preserve"> </v>
      </c>
      <c r="Q56" s="220"/>
      <c r="R56" s="45"/>
      <c r="S56" s="46"/>
      <c r="T56" s="1"/>
      <c r="U56" s="1"/>
      <c r="V56" s="1"/>
      <c r="W56" s="1"/>
      <c r="X56" s="1"/>
      <c r="Y56" s="1"/>
      <c r="Z56" s="1"/>
      <c r="AA56" s="1"/>
      <c r="AB56" s="1"/>
    </row>
    <row r="57" spans="1:28" ht="12" customHeight="1">
      <c r="A57" s="24" t="str">
        <f>IF($D$11=0,"-",IF($D$9/$D$11&lt;=500,200,IF($D$9/$D$11&lt;=1000,200,IF($D$9/$D$11&lt;=2000,500,1000))))</f>
        <v>-</v>
      </c>
      <c r="B57" s="282" t="str">
        <f t="shared" si="21"/>
        <v xml:space="preserve"> </v>
      </c>
      <c r="C57" s="220"/>
      <c r="D57" s="38" t="str">
        <f t="shared" si="15"/>
        <v xml:space="preserve"> </v>
      </c>
      <c r="E57" s="284"/>
      <c r="F57" s="216"/>
      <c r="G57" s="285"/>
      <c r="H57" s="216"/>
      <c r="I57" s="268" t="str">
        <f t="shared" si="16"/>
        <v xml:space="preserve"> </v>
      </c>
      <c r="J57" s="220"/>
      <c r="K57" s="98">
        <f t="shared" ref="K57:K58" si="22">IF(D57="-",0,L57*$D$11)</f>
        <v>0</v>
      </c>
      <c r="L57" s="26">
        <f t="shared" si="18"/>
        <v>1.5</v>
      </c>
      <c r="M57" s="270" t="str">
        <f t="shared" si="19"/>
        <v xml:space="preserve"> </v>
      </c>
      <c r="N57" s="223"/>
      <c r="O57" s="220"/>
      <c r="P57" s="222" t="str">
        <f t="shared" si="20"/>
        <v xml:space="preserve"> </v>
      </c>
      <c r="Q57" s="220"/>
      <c r="R57" s="45"/>
      <c r="S57" s="46"/>
      <c r="T57" s="1"/>
      <c r="U57" s="1"/>
      <c r="V57" s="1"/>
      <c r="W57" s="1"/>
      <c r="X57" s="1"/>
      <c r="Y57" s="1"/>
      <c r="Z57" s="1"/>
      <c r="AA57" s="1"/>
      <c r="AB57" s="1"/>
    </row>
    <row r="58" spans="1:28" ht="12" customHeight="1">
      <c r="A58" s="24" t="str">
        <f>IF($D$11=0,"-",IF($D$9/$D$11&lt;=500,300,IF($D$9/$D$11&lt;=1000,300,IF($D$9/$D$11&lt;=2000,1000,2000))))</f>
        <v>-</v>
      </c>
      <c r="B58" s="282" t="str">
        <f t="shared" si="21"/>
        <v xml:space="preserve"> </v>
      </c>
      <c r="C58" s="220"/>
      <c r="D58" s="38" t="str">
        <f t="shared" ref="D58:D62" si="23">IF(E58=0," ",IF(E58&lt;$D$9,E58/$D$11,E58/$D$12))</f>
        <v xml:space="preserve"> </v>
      </c>
      <c r="E58" s="284"/>
      <c r="F58" s="216"/>
      <c r="G58" s="285"/>
      <c r="H58" s="216"/>
      <c r="I58" s="268" t="str">
        <f t="shared" si="16"/>
        <v xml:space="preserve"> </v>
      </c>
      <c r="J58" s="220"/>
      <c r="K58" s="98">
        <f t="shared" si="22"/>
        <v>0</v>
      </c>
      <c r="L58" s="26">
        <f t="shared" si="18"/>
        <v>1.5</v>
      </c>
      <c r="M58" s="270" t="str">
        <f t="shared" ref="M58:M64" si="24">IF(E58=0," ",IF($E$40=" "," ",ROUND(I58-$E$40,2)))</f>
        <v xml:space="preserve"> </v>
      </c>
      <c r="N58" s="223"/>
      <c r="O58" s="220"/>
      <c r="P58" s="222" t="str">
        <f t="shared" si="20"/>
        <v xml:space="preserve"> </v>
      </c>
      <c r="Q58" s="220"/>
      <c r="R58" s="45"/>
      <c r="S58" s="46"/>
      <c r="T58" s="1"/>
      <c r="U58" s="1"/>
      <c r="V58" s="1"/>
      <c r="W58" s="1"/>
      <c r="X58" s="1"/>
      <c r="Y58" s="1"/>
      <c r="Z58" s="1"/>
      <c r="AA58" s="1"/>
      <c r="AB58" s="1"/>
    </row>
    <row r="59" spans="1:28" ht="12" customHeight="1">
      <c r="A59" s="24" t="str">
        <f>IF($D$11=0,"-",IF($D$9/$D$11&lt;=500,400,IF($D$9/$D$11&lt;=1000,400,IF($D$9/$D$11&lt;=2000,1500,2000))))</f>
        <v>-</v>
      </c>
      <c r="B59" s="282" t="str">
        <f t="shared" si="21"/>
        <v xml:space="preserve"> </v>
      </c>
      <c r="C59" s="220"/>
      <c r="D59" s="38" t="str">
        <f t="shared" si="23"/>
        <v xml:space="preserve"> </v>
      </c>
      <c r="E59" s="284"/>
      <c r="F59" s="216"/>
      <c r="G59" s="285"/>
      <c r="H59" s="216"/>
      <c r="I59" s="268" t="str">
        <f t="shared" si="16"/>
        <v xml:space="preserve"> </v>
      </c>
      <c r="J59" s="220"/>
      <c r="K59" s="98">
        <f t="shared" ref="K59:K63" si="25">IF(D59="-",0,IF(E59&lt;$D$9,L59*$D$11,L59*$D$12))</f>
        <v>0</v>
      </c>
      <c r="L59" s="26">
        <f t="shared" si="18"/>
        <v>1.5</v>
      </c>
      <c r="M59" s="270" t="str">
        <f t="shared" si="24"/>
        <v xml:space="preserve"> </v>
      </c>
      <c r="N59" s="223"/>
      <c r="O59" s="220"/>
      <c r="P59" s="222" t="str">
        <f t="shared" si="20"/>
        <v xml:space="preserve"> </v>
      </c>
      <c r="Q59" s="220"/>
      <c r="R59" s="45"/>
      <c r="S59" s="46"/>
      <c r="T59" s="1"/>
      <c r="U59" s="1"/>
      <c r="V59" s="1"/>
      <c r="W59" s="1"/>
      <c r="X59" s="1"/>
      <c r="Y59" s="1"/>
      <c r="Z59" s="1"/>
      <c r="AA59" s="1"/>
      <c r="AB59" s="1"/>
    </row>
    <row r="60" spans="1:28" ht="12" customHeight="1">
      <c r="A60" s="170"/>
      <c r="B60" s="282" t="str">
        <f t="shared" ref="B60:B61" si="26">IF(A60=0," ",A60*$D$12)</f>
        <v xml:space="preserve"> </v>
      </c>
      <c r="C60" s="220"/>
      <c r="D60" s="38" t="str">
        <f t="shared" si="23"/>
        <v xml:space="preserve"> </v>
      </c>
      <c r="E60" s="284"/>
      <c r="F60" s="216"/>
      <c r="G60" s="285"/>
      <c r="H60" s="216"/>
      <c r="I60" s="268" t="str">
        <f t="shared" si="16"/>
        <v xml:space="preserve"> </v>
      </c>
      <c r="J60" s="220"/>
      <c r="K60" s="98">
        <f t="shared" si="25"/>
        <v>0</v>
      </c>
      <c r="L60" s="26">
        <f t="shared" si="18"/>
        <v>1.5</v>
      </c>
      <c r="M60" s="270" t="str">
        <f t="shared" si="24"/>
        <v xml:space="preserve"> </v>
      </c>
      <c r="N60" s="223"/>
      <c r="O60" s="220"/>
      <c r="P60" s="222" t="str">
        <f t="shared" si="20"/>
        <v xml:space="preserve"> </v>
      </c>
      <c r="Q60" s="220"/>
      <c r="R60" s="45"/>
      <c r="S60" s="46"/>
      <c r="T60" s="1"/>
      <c r="U60" s="1"/>
      <c r="V60" s="1"/>
      <c r="W60" s="1"/>
      <c r="X60" s="1"/>
      <c r="Y60" s="1"/>
      <c r="Z60" s="1"/>
      <c r="AA60" s="1"/>
      <c r="AB60" s="1"/>
    </row>
    <row r="61" spans="1:28" ht="12" customHeight="1">
      <c r="A61" s="170"/>
      <c r="B61" s="282" t="str">
        <f t="shared" si="26"/>
        <v xml:space="preserve"> </v>
      </c>
      <c r="C61" s="220"/>
      <c r="D61" s="38" t="str">
        <f t="shared" si="23"/>
        <v xml:space="preserve"> </v>
      </c>
      <c r="E61" s="284"/>
      <c r="F61" s="216"/>
      <c r="G61" s="285"/>
      <c r="H61" s="216"/>
      <c r="I61" s="268" t="str">
        <f>IF(G61=0," ",ROUND((G61-E61),4))</f>
        <v xml:space="preserve"> </v>
      </c>
      <c r="J61" s="220"/>
      <c r="K61" s="98">
        <f t="shared" si="25"/>
        <v>0</v>
      </c>
      <c r="L61" s="26">
        <f t="shared" si="18"/>
        <v>1.5</v>
      </c>
      <c r="M61" s="270" t="str">
        <f t="shared" si="24"/>
        <v xml:space="preserve"> </v>
      </c>
      <c r="N61" s="223"/>
      <c r="O61" s="220"/>
      <c r="P61" s="222" t="str">
        <f t="shared" si="20"/>
        <v xml:space="preserve"> </v>
      </c>
      <c r="Q61" s="220"/>
      <c r="R61" s="45"/>
      <c r="S61" s="46"/>
      <c r="T61" s="1"/>
      <c r="U61" s="1"/>
      <c r="V61" s="1"/>
      <c r="W61" s="1"/>
      <c r="X61" s="1"/>
      <c r="Y61" s="1"/>
      <c r="Z61" s="1"/>
      <c r="AA61" s="1"/>
      <c r="AB61" s="1"/>
    </row>
    <row r="62" spans="1:28" ht="12" customHeight="1">
      <c r="A62" s="24">
        <f>IF($D$12=0,0,IF($D$10/$D$12&lt;=A61,"-",$D$10/$D$12))</f>
        <v>0</v>
      </c>
      <c r="B62" s="282" t="str">
        <f>IF(OR($D$12=0,$A$62="-")," ",A62*$D$12)</f>
        <v xml:space="preserve"> </v>
      </c>
      <c r="C62" s="220"/>
      <c r="D62" s="38" t="str">
        <f t="shared" si="23"/>
        <v xml:space="preserve"> </v>
      </c>
      <c r="E62" s="284"/>
      <c r="F62" s="216"/>
      <c r="G62" s="285"/>
      <c r="H62" s="216"/>
      <c r="I62" s="268" t="str">
        <f>IF(G62=0," ",(G62-E62))</f>
        <v xml:space="preserve"> </v>
      </c>
      <c r="J62" s="220"/>
      <c r="K62" s="98">
        <f t="shared" si="25"/>
        <v>0</v>
      </c>
      <c r="L62" s="26">
        <f t="shared" si="18"/>
        <v>1.5</v>
      </c>
      <c r="M62" s="270" t="str">
        <f t="shared" si="24"/>
        <v xml:space="preserve"> </v>
      </c>
      <c r="N62" s="223"/>
      <c r="O62" s="220"/>
      <c r="P62" s="222" t="str">
        <f t="shared" si="20"/>
        <v xml:space="preserve"> </v>
      </c>
      <c r="Q62" s="220"/>
      <c r="R62" s="45"/>
      <c r="S62" s="46"/>
      <c r="T62" s="1"/>
      <c r="U62" s="1"/>
      <c r="V62" s="1"/>
      <c r="W62" s="1"/>
      <c r="X62" s="1"/>
      <c r="Y62" s="1"/>
      <c r="Z62" s="1"/>
      <c r="AA62" s="1"/>
      <c r="AB62" s="1"/>
    </row>
    <row r="63" spans="1:28" ht="12" customHeight="1">
      <c r="A63" s="24">
        <f>A61</f>
        <v>0</v>
      </c>
      <c r="B63" s="283" t="str">
        <f t="shared" ref="B63:B64" si="27">IF($D$10=0," ",A63*$D$12)</f>
        <v xml:space="preserve"> </v>
      </c>
      <c r="C63" s="220"/>
      <c r="D63" s="38" t="str">
        <f t="shared" ref="D63:D69" si="28">IF(E63=0," ",E63/$D$12)</f>
        <v xml:space="preserve"> </v>
      </c>
      <c r="E63" s="259">
        <f>E61</f>
        <v>0</v>
      </c>
      <c r="F63" s="220"/>
      <c r="G63" s="271"/>
      <c r="H63" s="216"/>
      <c r="I63" s="268" t="str">
        <f>IF(G63=0," ",ROUND((G63-E63),4))</f>
        <v xml:space="preserve"> </v>
      </c>
      <c r="J63" s="220"/>
      <c r="K63" s="98">
        <f t="shared" si="25"/>
        <v>0</v>
      </c>
      <c r="L63" s="26">
        <f t="shared" si="18"/>
        <v>1.5</v>
      </c>
      <c r="M63" s="270" t="str">
        <f t="shared" si="24"/>
        <v xml:space="preserve"> </v>
      </c>
      <c r="N63" s="223"/>
      <c r="O63" s="220"/>
      <c r="P63" s="222" t="str">
        <f t="shared" si="20"/>
        <v xml:space="preserve"> </v>
      </c>
      <c r="Q63" s="220"/>
      <c r="R63" s="45"/>
      <c r="S63" s="46"/>
      <c r="T63" s="1"/>
      <c r="U63" s="1"/>
      <c r="V63" s="1"/>
      <c r="W63" s="1"/>
      <c r="X63" s="1"/>
      <c r="Y63" s="1"/>
      <c r="Z63" s="1"/>
      <c r="AA63" s="1"/>
      <c r="AB63" s="1"/>
    </row>
    <row r="64" spans="1:28" ht="12" customHeight="1">
      <c r="A64" s="24">
        <f>A60</f>
        <v>0</v>
      </c>
      <c r="B64" s="281" t="str">
        <f t="shared" si="27"/>
        <v xml:space="preserve"> </v>
      </c>
      <c r="C64" s="220"/>
      <c r="D64" s="38" t="str">
        <f t="shared" si="28"/>
        <v xml:space="preserve"> </v>
      </c>
      <c r="E64" s="259">
        <f>E60</f>
        <v>0</v>
      </c>
      <c r="F64" s="220"/>
      <c r="G64" s="271"/>
      <c r="H64" s="216"/>
      <c r="I64" s="268" t="str">
        <f t="shared" ref="I64:I67" si="29">IF(G64=0," ",(G64-E64))</f>
        <v xml:space="preserve"> </v>
      </c>
      <c r="J64" s="220"/>
      <c r="K64" s="98">
        <f t="shared" ref="K64:K69" si="30">IF(D64="-",0,L64*$D$12)</f>
        <v>0</v>
      </c>
      <c r="L64" s="26">
        <f t="shared" si="18"/>
        <v>1.5</v>
      </c>
      <c r="M64" s="270" t="str">
        <f t="shared" si="24"/>
        <v xml:space="preserve"> </v>
      </c>
      <c r="N64" s="223"/>
      <c r="O64" s="220"/>
      <c r="P64" s="222" t="str">
        <f t="shared" si="20"/>
        <v xml:space="preserve"> </v>
      </c>
      <c r="Q64" s="220"/>
      <c r="R64" s="45"/>
      <c r="S64" s="46"/>
      <c r="T64" s="1"/>
      <c r="U64" s="1"/>
      <c r="V64" s="1"/>
      <c r="W64" s="1"/>
      <c r="X64" s="1"/>
      <c r="Y64" s="1"/>
      <c r="Z64" s="1"/>
      <c r="AA64" s="1"/>
      <c r="AB64" s="1"/>
    </row>
    <row r="65" spans="1:28" ht="12" customHeight="1">
      <c r="A65" s="24" t="str">
        <f t="shared" ref="A65:A69" si="31">IF($D$11=0,"-",B65/$D$12)</f>
        <v>-</v>
      </c>
      <c r="B65" s="281" t="str">
        <f>IF($D$11=0," ",B59)</f>
        <v xml:space="preserve"> </v>
      </c>
      <c r="C65" s="220"/>
      <c r="D65" s="38" t="str">
        <f t="shared" si="28"/>
        <v xml:space="preserve"> </v>
      </c>
      <c r="E65" s="259">
        <f>E59</f>
        <v>0</v>
      </c>
      <c r="F65" s="220"/>
      <c r="G65" s="271"/>
      <c r="H65" s="216"/>
      <c r="I65" s="268" t="str">
        <f t="shared" si="29"/>
        <v xml:space="preserve"> </v>
      </c>
      <c r="J65" s="220"/>
      <c r="K65" s="98">
        <f t="shared" si="30"/>
        <v>0</v>
      </c>
      <c r="L65" s="26">
        <f t="shared" si="18"/>
        <v>1.5</v>
      </c>
      <c r="M65" s="270" t="str">
        <f t="shared" ref="M65:M66" si="32">IF(E65=0," ",IF($E$40=" "," ",I65-$E$40))</f>
        <v xml:space="preserve"> </v>
      </c>
      <c r="N65" s="223"/>
      <c r="O65" s="220"/>
      <c r="P65" s="222" t="str">
        <f t="shared" si="20"/>
        <v xml:space="preserve"> </v>
      </c>
      <c r="Q65" s="220"/>
      <c r="R65" s="45"/>
      <c r="S65" s="46"/>
      <c r="T65" s="1"/>
      <c r="U65" s="1"/>
      <c r="V65" s="1"/>
      <c r="W65" s="1"/>
      <c r="X65" s="1"/>
      <c r="Y65" s="1"/>
      <c r="Z65" s="1"/>
      <c r="AA65" s="1"/>
      <c r="AB65" s="1"/>
    </row>
    <row r="66" spans="1:28" ht="12" customHeight="1">
      <c r="A66" s="24" t="str">
        <f t="shared" si="31"/>
        <v>-</v>
      </c>
      <c r="B66" s="281" t="str">
        <f>IF($D$11=0," ",B58)</f>
        <v xml:space="preserve"> </v>
      </c>
      <c r="C66" s="220"/>
      <c r="D66" s="38" t="str">
        <f t="shared" si="28"/>
        <v xml:space="preserve"> </v>
      </c>
      <c r="E66" s="259">
        <f>E58</f>
        <v>0</v>
      </c>
      <c r="F66" s="220"/>
      <c r="G66" s="271"/>
      <c r="H66" s="216"/>
      <c r="I66" s="268" t="str">
        <f t="shared" si="29"/>
        <v xml:space="preserve"> </v>
      </c>
      <c r="J66" s="220"/>
      <c r="K66" s="98">
        <f t="shared" si="30"/>
        <v>0</v>
      </c>
      <c r="L66" s="26">
        <f t="shared" si="18"/>
        <v>1.5</v>
      </c>
      <c r="M66" s="270" t="str">
        <f t="shared" si="32"/>
        <v xml:space="preserve"> </v>
      </c>
      <c r="N66" s="223"/>
      <c r="O66" s="220"/>
      <c r="P66" s="222" t="str">
        <f t="shared" si="20"/>
        <v xml:space="preserve"> </v>
      </c>
      <c r="Q66" s="220"/>
      <c r="R66" s="45"/>
      <c r="S66" s="46"/>
      <c r="T66" s="1"/>
      <c r="U66" s="1"/>
      <c r="V66" s="1"/>
      <c r="W66" s="1"/>
      <c r="X66" s="1"/>
      <c r="Y66" s="1"/>
      <c r="Z66" s="1"/>
      <c r="AA66" s="1"/>
      <c r="AB66" s="1"/>
    </row>
    <row r="67" spans="1:28" ht="12" customHeight="1">
      <c r="A67" s="24" t="str">
        <f t="shared" si="31"/>
        <v>-</v>
      </c>
      <c r="B67" s="281" t="str">
        <f>IF($D$11=0," ",B57)</f>
        <v xml:space="preserve"> </v>
      </c>
      <c r="C67" s="220"/>
      <c r="D67" s="38" t="str">
        <f t="shared" si="28"/>
        <v xml:space="preserve"> </v>
      </c>
      <c r="E67" s="259">
        <f>E57</f>
        <v>0</v>
      </c>
      <c r="F67" s="220"/>
      <c r="G67" s="271"/>
      <c r="H67" s="216"/>
      <c r="I67" s="268" t="str">
        <f t="shared" si="29"/>
        <v xml:space="preserve"> </v>
      </c>
      <c r="J67" s="220"/>
      <c r="K67" s="98">
        <f t="shared" si="30"/>
        <v>0</v>
      </c>
      <c r="L67" s="26">
        <f t="shared" si="18"/>
        <v>1.5</v>
      </c>
      <c r="M67" s="270" t="str">
        <f t="shared" ref="M67:M69" si="33">IF(E67=0," ",IF($E$40=" "," ",ROUND(I67-$E$40,2)))</f>
        <v xml:space="preserve"> </v>
      </c>
      <c r="N67" s="223"/>
      <c r="O67" s="220"/>
      <c r="P67" s="222" t="str">
        <f t="shared" si="20"/>
        <v xml:space="preserve"> </v>
      </c>
      <c r="Q67" s="220"/>
      <c r="R67" s="45"/>
      <c r="S67" s="46"/>
      <c r="T67" s="1"/>
      <c r="U67" s="1"/>
      <c r="V67" s="1"/>
      <c r="W67" s="1"/>
      <c r="X67" s="1"/>
      <c r="Y67" s="1"/>
      <c r="Z67" s="1"/>
      <c r="AA67" s="1"/>
      <c r="AB67" s="1"/>
    </row>
    <row r="68" spans="1:28" ht="12" customHeight="1">
      <c r="A68" s="24" t="str">
        <f t="shared" si="31"/>
        <v>-</v>
      </c>
      <c r="B68" s="281" t="str">
        <f>IF($D$11=0," ",B56)</f>
        <v xml:space="preserve"> </v>
      </c>
      <c r="C68" s="220"/>
      <c r="D68" s="38" t="str">
        <f t="shared" si="28"/>
        <v xml:space="preserve"> </v>
      </c>
      <c r="E68" s="259">
        <f>E56</f>
        <v>0</v>
      </c>
      <c r="F68" s="220"/>
      <c r="G68" s="271"/>
      <c r="H68" s="216"/>
      <c r="I68" s="268" t="str">
        <f t="shared" ref="I68:I69" si="34">IF(G68=0," ",ROUND((G68-E68),4))</f>
        <v xml:space="preserve"> </v>
      </c>
      <c r="J68" s="220"/>
      <c r="K68" s="98">
        <f t="shared" si="30"/>
        <v>0</v>
      </c>
      <c r="L68" s="26">
        <f t="shared" si="18"/>
        <v>1.5</v>
      </c>
      <c r="M68" s="270" t="str">
        <f t="shared" si="33"/>
        <v xml:space="preserve"> </v>
      </c>
      <c r="N68" s="223"/>
      <c r="O68" s="220"/>
      <c r="P68" s="222" t="str">
        <f t="shared" si="20"/>
        <v xml:space="preserve"> </v>
      </c>
      <c r="Q68" s="220"/>
      <c r="R68" s="45"/>
      <c r="S68" s="46"/>
      <c r="T68" s="1"/>
      <c r="U68" s="1"/>
      <c r="V68" s="1"/>
      <c r="W68" s="1"/>
      <c r="X68" s="1"/>
      <c r="Y68" s="1"/>
      <c r="Z68" s="1"/>
      <c r="AA68" s="1"/>
      <c r="AB68" s="1"/>
    </row>
    <row r="69" spans="1:28" ht="12" customHeight="1">
      <c r="A69" s="24" t="str">
        <f t="shared" si="31"/>
        <v>-</v>
      </c>
      <c r="B69" s="281" t="str">
        <f>IF($D$11=0," ",$B$55)</f>
        <v xml:space="preserve"> </v>
      </c>
      <c r="C69" s="220"/>
      <c r="D69" s="38" t="str">
        <f t="shared" si="28"/>
        <v xml:space="preserve"> </v>
      </c>
      <c r="E69" s="259">
        <f>E55</f>
        <v>0</v>
      </c>
      <c r="F69" s="220"/>
      <c r="G69" s="271"/>
      <c r="H69" s="216"/>
      <c r="I69" s="268" t="str">
        <f t="shared" si="34"/>
        <v xml:space="preserve"> </v>
      </c>
      <c r="J69" s="220"/>
      <c r="K69" s="98">
        <f t="shared" si="30"/>
        <v>0</v>
      </c>
      <c r="L69" s="26">
        <f t="shared" si="18"/>
        <v>1.5</v>
      </c>
      <c r="M69" s="270" t="str">
        <f t="shared" si="33"/>
        <v xml:space="preserve"> </v>
      </c>
      <c r="N69" s="223"/>
      <c r="O69" s="220"/>
      <c r="P69" s="222" t="str">
        <f t="shared" si="20"/>
        <v xml:space="preserve"> </v>
      </c>
      <c r="Q69" s="220"/>
      <c r="R69" s="45"/>
      <c r="S69" s="46"/>
      <c r="T69" s="1"/>
      <c r="U69" s="1"/>
      <c r="V69" s="1"/>
      <c r="W69" s="1"/>
      <c r="X69" s="1"/>
      <c r="Y69" s="1"/>
      <c r="Z69" s="1"/>
      <c r="AA69" s="1"/>
      <c r="AB69" s="1"/>
    </row>
    <row r="70" spans="1:28" ht="12" customHeight="1">
      <c r="A70" s="1"/>
      <c r="B70" s="1"/>
      <c r="C70" s="1"/>
      <c r="D70" s="1"/>
      <c r="E70" s="1"/>
      <c r="F70" s="1"/>
      <c r="G70" s="1"/>
      <c r="H70" s="1"/>
      <c r="I70" s="1"/>
      <c r="J70" s="1"/>
      <c r="K70" s="1"/>
      <c r="L70" s="3" t="str">
        <f>IF($D$14="English","Test passed?","Test bestanden?")</f>
        <v>Test passed?</v>
      </c>
      <c r="M70" s="93"/>
      <c r="N70" s="93"/>
      <c r="O70" s="94"/>
      <c r="P70" s="222" t="str">
        <f>IF(AND(P55="Y",P56= "Y", P57="Y",P58="Y",P59="Y",P60="Y",P61="Y",P62="Y",P63="Y",P64="Y",P65="Y",P66="Y",P67="Y", P68="Y", P69="Y"),"Y","N")</f>
        <v>N</v>
      </c>
      <c r="Q70" s="220"/>
      <c r="R70" s="45"/>
      <c r="S70" s="46"/>
      <c r="T70" s="1"/>
      <c r="U70" s="1"/>
      <c r="V70" s="1"/>
      <c r="W70" s="1"/>
      <c r="X70" s="1"/>
      <c r="Y70" s="1"/>
      <c r="Z70" s="1"/>
      <c r="AA70" s="1"/>
      <c r="AB70" s="1"/>
    </row>
    <row r="71" spans="1:28" ht="15" customHeight="1">
      <c r="A71" s="28"/>
      <c r="B71" s="31"/>
      <c r="C71" s="32"/>
      <c r="D71" s="1"/>
      <c r="E71" s="1"/>
      <c r="F71" s="1"/>
      <c r="G71" s="6"/>
      <c r="J71" s="17"/>
      <c r="K71" s="1"/>
      <c r="L71" s="1"/>
      <c r="M71" s="1"/>
      <c r="N71" s="1"/>
      <c r="O71" s="1"/>
      <c r="P71" s="1"/>
      <c r="Q71" s="1"/>
      <c r="R71" s="1"/>
      <c r="S71" s="1"/>
      <c r="T71" s="1"/>
      <c r="U71" s="1"/>
      <c r="V71" s="1"/>
      <c r="W71" s="1"/>
      <c r="X71" s="1"/>
      <c r="Y71" s="1"/>
      <c r="Z71" s="1"/>
      <c r="AA71" s="1"/>
      <c r="AB71" s="1"/>
    </row>
    <row r="72" spans="1:28" ht="12" customHeight="1">
      <c r="A72" s="7" t="str">
        <f>IF($D$14="English","5.  Eccentricity Test (Indicator in hi-res mode)","5.  Prüfung bei Außermittiger Belastung (Indicator in hi-res mode)")</f>
        <v>5.  Eccentricity Test (Indicator in hi-res mode)</v>
      </c>
      <c r="B72" s="1"/>
      <c r="C72" s="6"/>
      <c r="D72" s="8"/>
      <c r="E72" s="8"/>
      <c r="F72" s="1"/>
      <c r="G72" s="1"/>
      <c r="H72" s="1" t="str">
        <f>IF($D$14="English","accordance to EN45501-2015, A.4.7","gemäß EN45501-2015, A.4.7")</f>
        <v>accordance to EN45501-2015, A.4.7</v>
      </c>
      <c r="I72" s="1"/>
      <c r="J72" s="1"/>
      <c r="K72" s="1"/>
      <c r="L72" s="6"/>
      <c r="M72" s="6"/>
      <c r="N72" s="1"/>
      <c r="O72" s="1"/>
      <c r="P72" s="1"/>
      <c r="Q72" s="1"/>
      <c r="R72" s="1"/>
      <c r="S72" s="1"/>
      <c r="T72" s="1"/>
      <c r="U72" s="1"/>
      <c r="V72" s="1"/>
      <c r="W72" s="1"/>
      <c r="X72" s="1"/>
      <c r="Y72" s="1"/>
      <c r="Z72" s="1"/>
      <c r="AA72" s="1"/>
      <c r="AB72" s="1"/>
    </row>
    <row r="73" spans="1:28" ht="12" customHeight="1">
      <c r="A73" s="7"/>
      <c r="B73" s="7" t="str">
        <f>IF($D$14="English","Load position","Belastungsort")</f>
        <v>Load position</v>
      </c>
      <c r="C73" s="1"/>
      <c r="D73" s="1"/>
      <c r="E73" s="1"/>
      <c r="F73" s="1"/>
      <c r="G73" s="1"/>
      <c r="H73" s="1"/>
      <c r="I73" s="1"/>
      <c r="J73" s="1"/>
      <c r="K73" s="1"/>
      <c r="L73" s="1"/>
      <c r="M73" s="1"/>
      <c r="N73" s="1"/>
      <c r="O73" s="1"/>
      <c r="P73" s="1"/>
      <c r="R73" s="1"/>
      <c r="S73" s="1"/>
      <c r="T73" s="1"/>
      <c r="U73" s="1"/>
      <c r="V73" s="1"/>
      <c r="W73" s="1"/>
      <c r="X73" s="1"/>
      <c r="Y73" s="1"/>
      <c r="Z73" s="1"/>
      <c r="AA73" s="1"/>
      <c r="AB73" s="1"/>
    </row>
    <row r="74" spans="1:28" ht="12" customHeight="1">
      <c r="A74" s="7"/>
      <c r="B74" s="55">
        <v>1</v>
      </c>
      <c r="C74" s="56"/>
      <c r="D74" s="57">
        <v>2</v>
      </c>
      <c r="E74" s="56"/>
      <c r="F74" s="57" t="str">
        <f>IF($G$78=4," ",3)</f>
        <v xml:space="preserve"> </v>
      </c>
      <c r="G74" s="56"/>
      <c r="H74" s="57" t="str">
        <f>IF(OR($G$78=4,$G$78=6)," ",4)</f>
        <v xml:space="preserve"> </v>
      </c>
      <c r="I74" s="56"/>
      <c r="J74" s="57" t="str">
        <f>IF(OR($G$78=4,$G$78=6,$G$78=8)," ",5)</f>
        <v xml:space="preserve"> </v>
      </c>
      <c r="K74" s="56"/>
      <c r="L74" s="57" t="str">
        <f>IF(OR($G$78=4,$G$78=6,$G$78=8,$G78=10)," ",6)</f>
        <v xml:space="preserve"> </v>
      </c>
      <c r="M74" s="56"/>
      <c r="O74" s="1"/>
      <c r="P74" s="1"/>
      <c r="Q74" s="23" t="s">
        <v>76</v>
      </c>
      <c r="R74" s="1"/>
      <c r="S74" s="1"/>
      <c r="T74" s="1"/>
      <c r="U74" s="1"/>
      <c r="V74" s="1"/>
      <c r="W74" s="1"/>
      <c r="X74" s="1"/>
      <c r="Y74" s="1"/>
      <c r="Z74" s="1"/>
      <c r="AA74" s="1"/>
      <c r="AB74" s="1"/>
    </row>
    <row r="75" spans="1:28" ht="12" customHeight="1">
      <c r="A75" s="7"/>
      <c r="B75" s="59"/>
      <c r="C75" s="60"/>
      <c r="D75" s="61"/>
      <c r="E75" s="60"/>
      <c r="F75" s="61"/>
      <c r="G75" s="60"/>
      <c r="H75" s="61"/>
      <c r="I75" s="60"/>
      <c r="J75" s="59"/>
      <c r="K75" s="60"/>
      <c r="L75" s="59"/>
      <c r="M75" s="60"/>
      <c r="N75" s="1"/>
      <c r="O75" s="1"/>
      <c r="P75" s="1"/>
      <c r="Q75" s="1"/>
      <c r="R75" s="1"/>
      <c r="S75" s="1"/>
      <c r="T75" s="1"/>
      <c r="U75" s="1"/>
      <c r="V75" s="1"/>
      <c r="W75" s="1"/>
      <c r="X75" s="1"/>
      <c r="Y75" s="1"/>
      <c r="Z75" s="1"/>
      <c r="AA75" s="1"/>
      <c r="AB75" s="1"/>
    </row>
    <row r="76" spans="1:28" ht="12" customHeight="1">
      <c r="A76" s="7"/>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2.75" customHeight="1">
      <c r="A77" s="7"/>
      <c r="B77" s="1"/>
      <c r="C77" s="1"/>
      <c r="D77" s="1"/>
      <c r="E77" s="1"/>
      <c r="F77" s="1"/>
      <c r="G77" s="1"/>
      <c r="H77" s="1"/>
      <c r="I77" s="1"/>
      <c r="J77" s="29"/>
      <c r="K77" s="29"/>
      <c r="L77" s="29"/>
      <c r="M77" s="29"/>
      <c r="N77" s="29"/>
      <c r="O77" s="29"/>
      <c r="P77" s="1"/>
      <c r="Q77" s="1"/>
      <c r="R77" s="1"/>
      <c r="S77" s="1"/>
      <c r="T77" s="1"/>
      <c r="U77" s="1"/>
      <c r="V77" s="1"/>
      <c r="W77" s="1"/>
      <c r="X77" s="1"/>
      <c r="Y77" s="1"/>
      <c r="Z77" s="1"/>
      <c r="AA77" s="1"/>
      <c r="AB77" s="1"/>
    </row>
    <row r="78" spans="1:28" ht="15" customHeight="1">
      <c r="A78" s="7"/>
      <c r="B78" s="1" t="str">
        <f>IF($D$14="English","number of load carrier","Anzahl Auflager")</f>
        <v>number of load carrier</v>
      </c>
      <c r="C78" s="1"/>
      <c r="F78" s="23" t="s">
        <v>76</v>
      </c>
      <c r="G78" s="171">
        <v>4</v>
      </c>
      <c r="H78" s="1"/>
      <c r="I78" s="1"/>
      <c r="J78" s="29"/>
      <c r="K78" s="29"/>
      <c r="L78" s="29"/>
      <c r="M78" s="29"/>
      <c r="N78" s="29"/>
      <c r="O78" s="29"/>
      <c r="Q78" s="1"/>
      <c r="R78" s="65"/>
      <c r="S78" s="65"/>
      <c r="T78" s="65"/>
      <c r="U78" s="65"/>
      <c r="V78" s="65"/>
      <c r="W78" s="65"/>
      <c r="X78" s="65"/>
      <c r="Y78" s="65"/>
      <c r="Z78" s="65"/>
      <c r="AA78" s="65"/>
      <c r="AB78" s="65"/>
    </row>
    <row r="79" spans="1:28" ht="12" customHeight="1">
      <c r="A79" s="7"/>
      <c r="B79" s="1"/>
      <c r="C79" s="1"/>
      <c r="D79" s="1"/>
      <c r="E79" s="1"/>
      <c r="F79" s="1"/>
      <c r="G79" s="1"/>
      <c r="H79" s="1"/>
      <c r="I79" s="1"/>
      <c r="J79" s="66"/>
      <c r="K79" s="1"/>
      <c r="L79" s="1"/>
      <c r="M79" s="1"/>
      <c r="N79" s="1"/>
      <c r="R79" s="1"/>
      <c r="S79" s="1"/>
      <c r="T79" s="1"/>
      <c r="U79" s="1"/>
      <c r="V79" s="1"/>
      <c r="W79" s="1"/>
      <c r="X79" s="1"/>
      <c r="Y79" s="1"/>
      <c r="Z79" s="1"/>
      <c r="AA79" s="1"/>
      <c r="AB79" s="1"/>
    </row>
    <row r="80" spans="1:28" ht="24.75" customHeight="1">
      <c r="A80" s="395" t="str">
        <f>IF($D$14="English","load must be about","ungefähre Last")</f>
        <v>load must be about</v>
      </c>
      <c r="B80" s="220"/>
      <c r="C80" s="396" t="s">
        <v>26</v>
      </c>
      <c r="D80" s="223"/>
      <c r="E80" s="220"/>
      <c r="F80" s="166" t="s">
        <v>27</v>
      </c>
      <c r="G80" s="167"/>
      <c r="H80" s="396" t="s">
        <v>28</v>
      </c>
      <c r="I80" s="220"/>
      <c r="J80" s="166" t="s">
        <v>29</v>
      </c>
      <c r="K80" s="167"/>
      <c r="L80" s="168" t="s">
        <v>30</v>
      </c>
      <c r="M80" s="65"/>
      <c r="N80" s="65"/>
      <c r="O80" s="34"/>
      <c r="P80" s="34"/>
      <c r="Q80" s="34"/>
      <c r="R80" s="1"/>
      <c r="S80" s="1"/>
      <c r="T80" s="1"/>
      <c r="U80" s="1"/>
      <c r="V80" s="1"/>
      <c r="W80" s="1"/>
      <c r="X80" s="1"/>
      <c r="Y80" s="1"/>
      <c r="Z80" s="1"/>
      <c r="AA80" s="1"/>
      <c r="AB80" s="1"/>
    </row>
    <row r="81" spans="1:28" ht="12" customHeight="1">
      <c r="A81" s="231" t="s">
        <v>33</v>
      </c>
      <c r="B81" s="220"/>
      <c r="C81" s="18" t="s">
        <v>32</v>
      </c>
      <c r="D81" s="20" t="s">
        <v>79</v>
      </c>
      <c r="E81" s="21" t="s">
        <v>33</v>
      </c>
      <c r="F81" s="18" t="s">
        <v>33</v>
      </c>
      <c r="G81" s="70"/>
      <c r="H81" s="231" t="s">
        <v>33</v>
      </c>
      <c r="I81" s="220"/>
      <c r="J81" s="19" t="s">
        <v>33</v>
      </c>
      <c r="K81" s="21" t="s">
        <v>32</v>
      </c>
      <c r="L81" s="19" t="s">
        <v>34</v>
      </c>
      <c r="M81" s="1"/>
      <c r="N81" s="1"/>
      <c r="R81" s="1"/>
      <c r="S81" s="1"/>
      <c r="T81" s="1"/>
      <c r="U81" s="1"/>
      <c r="V81" s="1"/>
      <c r="W81" s="1"/>
      <c r="X81" s="1"/>
      <c r="Y81" s="1"/>
      <c r="Z81" s="1"/>
      <c r="AA81" s="1"/>
      <c r="AB81" s="1"/>
    </row>
    <row r="82" spans="1:28" ht="12" customHeight="1">
      <c r="A82" s="296">
        <f>IF($D$9&gt;$D10,ROUND($D$9/($G$78-1),-0.01),ROUND($D$10/($G$78-1),-0.01))</f>
        <v>0</v>
      </c>
      <c r="B82" s="220"/>
      <c r="C82" s="11" t="str">
        <f t="shared" ref="C82:C85" si="35">IF($D$9=0," ",IF(E82=" "," ",IF(E82&lt;=$D$9,E82/$D$11,E82/$D$12)))</f>
        <v xml:space="preserve"> </v>
      </c>
      <c r="D82" s="20">
        <v>1</v>
      </c>
      <c r="E82" s="179"/>
      <c r="F82" s="271"/>
      <c r="G82" s="216"/>
      <c r="H82" s="268" t="str">
        <f t="shared" ref="H82:H87" si="36">IF(F82=0," ",ABS(E82-F82))</f>
        <v xml:space="preserve"> </v>
      </c>
      <c r="I82" s="220"/>
      <c r="J82" s="90">
        <f>IF(E82=0,0,IF(E82&lt;=$D$9,PRODUCT($D$11,K82),PRODUCT($D$12,K82)))</f>
        <v>0</v>
      </c>
      <c r="K82" s="26">
        <f>IF(C82=0,0,
IF($M$3="III", IF(C82&lt;=500,0.5,(IF(C82&lt;=2000,1,IF(C82&gt;2000,1.5," ")))),
IF($M$3="IV", IF(C82&lt;=50,0.5,(IF(C82&lt;=200,1,IF(C82&gt;200,1.5," "))))
)))</f>
        <v>1.5</v>
      </c>
      <c r="L82" s="27" t="str">
        <f t="shared" ref="L82:L87" si="37">IF(F82=0," ",IF(ABS(H82)&lt;=J82,"Y","N"))</f>
        <v xml:space="preserve"> </v>
      </c>
      <c r="M82" s="1"/>
      <c r="Q82" s="1"/>
      <c r="R82" s="1"/>
      <c r="S82" s="1"/>
      <c r="T82" s="1"/>
      <c r="U82" s="1"/>
      <c r="V82" s="1"/>
      <c r="W82" s="1"/>
      <c r="X82" s="1"/>
      <c r="Y82" s="1"/>
      <c r="Z82" s="1"/>
      <c r="AA82" s="1"/>
      <c r="AB82" s="1"/>
    </row>
    <row r="83" spans="1:28" ht="12" customHeight="1">
      <c r="A83" s="296">
        <f>IF($D$9&gt;$D10,ROUND($D$9/($G$78-1),-0.01),ROUND($D$10/($G$78-1),-0.01))</f>
        <v>0</v>
      </c>
      <c r="B83" s="220"/>
      <c r="C83" s="11" t="str">
        <f t="shared" si="35"/>
        <v xml:space="preserve"> </v>
      </c>
      <c r="D83" s="20">
        <v>2</v>
      </c>
      <c r="E83" s="102" t="str">
        <f t="shared" ref="E83:E85" si="38">IF($G$78&gt;1,IF($E$82=0," ",$E$82)," ")</f>
        <v xml:space="preserve"> </v>
      </c>
      <c r="F83" s="271"/>
      <c r="G83" s="216"/>
      <c r="H83" s="268" t="str">
        <f t="shared" si="36"/>
        <v xml:space="preserve"> </v>
      </c>
      <c r="I83" s="220"/>
      <c r="J83" s="90">
        <f t="shared" ref="J83:J87" si="39">IF(E83=" ",0,IF(E83&lt;=$D$9,PRODUCT($D$11,K83),PRODUCT($D$12,K83)))</f>
        <v>0</v>
      </c>
      <c r="K83" s="26">
        <f t="shared" ref="K83:K87" si="40">IF(C83=" ",0,
IF($M$3="III", IF(C83&lt;=500,0.5,(IF(C83&lt;=2000,1,IF(C83&gt;2000,1.5," ")))),
IF($M$3="IV", IF(C83&lt;=50,0.5,(IF(C83&lt;=200,1,IF(C83&gt;200,1.5," "))))
)))</f>
        <v>0</v>
      </c>
      <c r="L83" s="27" t="str">
        <f t="shared" si="37"/>
        <v xml:space="preserve"> </v>
      </c>
      <c r="N83" s="73"/>
      <c r="R83" s="1"/>
      <c r="S83" s="1"/>
      <c r="T83" s="1"/>
      <c r="U83" s="1"/>
      <c r="V83" s="1"/>
      <c r="W83" s="1"/>
      <c r="X83" s="1"/>
      <c r="Y83" s="1"/>
      <c r="Z83" s="1"/>
      <c r="AA83" s="1"/>
      <c r="AB83" s="1"/>
    </row>
    <row r="84" spans="1:28" ht="12" customHeight="1">
      <c r="A84" s="296" t="str">
        <f>IF($G$78&lt;6," ",IF($D$9&gt;$D10,ROUND($D$9/($G$78-1),-0.01),ROUND($D$10/($G$78-1),-0.01)))</f>
        <v xml:space="preserve"> </v>
      </c>
      <c r="B84" s="220"/>
      <c r="C84" s="11" t="str">
        <f t="shared" si="35"/>
        <v xml:space="preserve"> </v>
      </c>
      <c r="D84" s="20">
        <v>3</v>
      </c>
      <c r="E84" s="102" t="str">
        <f t="shared" si="38"/>
        <v xml:space="preserve"> </v>
      </c>
      <c r="F84" s="271"/>
      <c r="G84" s="216"/>
      <c r="H84" s="268" t="str">
        <f t="shared" si="36"/>
        <v xml:space="preserve"> </v>
      </c>
      <c r="I84" s="220"/>
      <c r="J84" s="90">
        <f t="shared" si="39"/>
        <v>0</v>
      </c>
      <c r="K84" s="26">
        <f t="shared" si="40"/>
        <v>0</v>
      </c>
      <c r="L84" s="27" t="str">
        <f t="shared" si="37"/>
        <v xml:space="preserve"> </v>
      </c>
      <c r="N84" s="73"/>
      <c r="R84" s="1"/>
      <c r="S84" s="1"/>
      <c r="T84" s="1"/>
      <c r="U84" s="1"/>
      <c r="V84" s="1"/>
      <c r="W84" s="1"/>
      <c r="X84" s="1"/>
      <c r="Y84" s="1"/>
      <c r="Z84" s="1"/>
      <c r="AA84" s="1"/>
      <c r="AB84" s="1"/>
    </row>
    <row r="85" spans="1:28" ht="12" customHeight="1">
      <c r="A85" s="296" t="str">
        <f>IF($G$78&lt;8," ",IF($D$9&gt;$D10,ROUND($D$9/($G$78-1),-0.01),ROUND($D$10/($G$78-1),-0.01)))</f>
        <v xml:space="preserve"> </v>
      </c>
      <c r="B85" s="220"/>
      <c r="C85" s="11" t="str">
        <f t="shared" si="35"/>
        <v xml:space="preserve"> </v>
      </c>
      <c r="D85" s="20">
        <v>4</v>
      </c>
      <c r="E85" s="102" t="str">
        <f t="shared" si="38"/>
        <v xml:space="preserve"> </v>
      </c>
      <c r="F85" s="271"/>
      <c r="G85" s="216"/>
      <c r="H85" s="268" t="str">
        <f t="shared" si="36"/>
        <v xml:space="preserve"> </v>
      </c>
      <c r="I85" s="220"/>
      <c r="J85" s="90">
        <f t="shared" si="39"/>
        <v>0</v>
      </c>
      <c r="K85" s="26">
        <f t="shared" si="40"/>
        <v>0</v>
      </c>
      <c r="L85" s="27" t="str">
        <f t="shared" si="37"/>
        <v xml:space="preserve"> </v>
      </c>
      <c r="N85" s="73"/>
      <c r="R85" s="1"/>
      <c r="S85" s="1"/>
      <c r="T85" s="1"/>
      <c r="U85" s="1"/>
      <c r="V85" s="1"/>
      <c r="W85" s="1"/>
      <c r="X85" s="1"/>
      <c r="Y85" s="1"/>
      <c r="Z85" s="1"/>
      <c r="AA85" s="1"/>
      <c r="AB85" s="1"/>
    </row>
    <row r="86" spans="1:28" ht="12" customHeight="1">
      <c r="A86" s="296" t="str">
        <f>IF($G$78&lt;10," ",IF($D$9&gt;$D10,ROUND($D$9/($G$78-1),-0.01),ROUND($D$10/($G$78-1),-0.01)))</f>
        <v xml:space="preserve"> </v>
      </c>
      <c r="B86" s="220"/>
      <c r="C86" s="11" t="str">
        <f t="shared" ref="C86:C87" si="41">IF(E86=" "," ",IF(E86&lt;=$D$9,E86/$D$11,E86/$D$12))</f>
        <v xml:space="preserve"> </v>
      </c>
      <c r="D86" s="20">
        <v>5</v>
      </c>
      <c r="E86" s="102" t="str">
        <f t="shared" ref="E86:E87" si="42">IF($G$78&gt;4,IF($E$82=0," ",$E$82)," ")</f>
        <v xml:space="preserve"> </v>
      </c>
      <c r="F86" s="271"/>
      <c r="G86" s="216"/>
      <c r="H86" s="268" t="str">
        <f t="shared" si="36"/>
        <v xml:space="preserve"> </v>
      </c>
      <c r="I86" s="220"/>
      <c r="J86" s="90">
        <f t="shared" si="39"/>
        <v>0</v>
      </c>
      <c r="K86" s="26">
        <f t="shared" si="40"/>
        <v>0</v>
      </c>
      <c r="L86" s="27" t="str">
        <f t="shared" si="37"/>
        <v xml:space="preserve"> </v>
      </c>
      <c r="N86" s="73"/>
      <c r="R86" s="1"/>
      <c r="S86" s="1"/>
      <c r="T86" s="1"/>
      <c r="U86" s="1"/>
      <c r="V86" s="1"/>
      <c r="W86" s="1"/>
      <c r="X86" s="1"/>
      <c r="Y86" s="1"/>
      <c r="Z86" s="1"/>
      <c r="AA86" s="1"/>
      <c r="AB86" s="1"/>
    </row>
    <row r="87" spans="1:28" ht="12" customHeight="1">
      <c r="A87" s="296" t="str">
        <f>IF($G$78&lt;12," ",IF($D$9&gt;$D10,ROUND($D$9/($G$78-1),-0.01),ROUND($D$10/($G$78-1),-0.01)))</f>
        <v xml:space="preserve"> </v>
      </c>
      <c r="B87" s="220"/>
      <c r="C87" s="11" t="str">
        <f t="shared" si="41"/>
        <v xml:space="preserve"> </v>
      </c>
      <c r="D87" s="20">
        <v>6</v>
      </c>
      <c r="E87" s="102" t="str">
        <f t="shared" si="42"/>
        <v xml:space="preserve"> </v>
      </c>
      <c r="F87" s="271"/>
      <c r="G87" s="216"/>
      <c r="H87" s="268" t="str">
        <f t="shared" si="36"/>
        <v xml:space="preserve"> </v>
      </c>
      <c r="I87" s="220"/>
      <c r="J87" s="90">
        <f t="shared" si="39"/>
        <v>0</v>
      </c>
      <c r="K87" s="26">
        <f t="shared" si="40"/>
        <v>0</v>
      </c>
      <c r="L87" s="27" t="str">
        <f t="shared" si="37"/>
        <v xml:space="preserve"> </v>
      </c>
      <c r="N87" s="73"/>
      <c r="R87" s="1"/>
      <c r="S87" s="1"/>
      <c r="T87" s="1"/>
      <c r="U87" s="1"/>
      <c r="V87" s="1"/>
      <c r="W87" s="1"/>
      <c r="X87" s="1"/>
      <c r="Y87" s="1"/>
      <c r="Z87" s="1"/>
      <c r="AA87" s="1"/>
      <c r="AB87" s="1"/>
    </row>
    <row r="88" spans="1:28" ht="15.75" customHeight="1">
      <c r="A88" s="1"/>
      <c r="B88" s="1"/>
      <c r="C88" s="1"/>
      <c r="D88" s="1"/>
      <c r="E88" s="1"/>
      <c r="F88" s="262"/>
      <c r="G88" s="237"/>
      <c r="H88" s="31"/>
      <c r="I88" s="1"/>
      <c r="J88" s="17"/>
      <c r="K88" s="6" t="str">
        <f>IF($D$14="English","Test passed?","Test bestanden?")</f>
        <v>Test passed?</v>
      </c>
      <c r="L88" s="27" t="str">
        <f>IF($G$78=4,IF(AND(L82="Y",L83="Y"),"Y","N"),IF($G$78=6,IF(AND(L82="Y",L83="Y",L84="Y"),"Y","N"),IF($G$78=8,IF(AND(L82="Y",L83="Y",L84="Y",L85="Y"),"Y","N"),IF($G$78=10,IF(AND(L82="Y",L83="Y",L84="Y",L85="Y",L86="Y"),"Y","N"),IF($G$78=12,IF(AND(L82="Y",L83="Y",L84="Y",L85="Y",L86="Y",L87="Y"),"Y","N"),"N")))))</f>
        <v>N</v>
      </c>
      <c r="R88" s="1"/>
      <c r="S88" s="1"/>
      <c r="T88" s="1"/>
      <c r="U88" s="1"/>
      <c r="V88" s="1"/>
      <c r="W88" s="1"/>
      <c r="X88" s="1"/>
      <c r="Y88" s="1"/>
      <c r="Z88" s="1"/>
      <c r="AA88" s="1"/>
      <c r="AB88" s="1"/>
    </row>
    <row r="89" spans="1:28" ht="12" customHeight="1">
      <c r="A89" s="1"/>
      <c r="B89" s="1"/>
      <c r="C89" s="1"/>
      <c r="D89" s="1"/>
      <c r="E89" s="1"/>
      <c r="F89" s="43"/>
      <c r="G89" s="43"/>
      <c r="H89" s="31"/>
      <c r="I89" s="1"/>
      <c r="J89" s="17"/>
      <c r="K89" s="6"/>
      <c r="L89" s="17"/>
      <c r="R89" s="1"/>
      <c r="S89" s="1"/>
      <c r="T89" s="1"/>
      <c r="U89" s="1"/>
      <c r="V89" s="1"/>
      <c r="W89" s="1"/>
      <c r="X89" s="1"/>
      <c r="Y89" s="1"/>
      <c r="Z89" s="1"/>
      <c r="AA89" s="1"/>
      <c r="AB89" s="1"/>
    </row>
    <row r="90" spans="1:28" ht="12.75" customHeight="1">
      <c r="A90" s="7" t="str">
        <f>IF($D$14="English","6. Vehicle Tilting Test (Indicator in hi-res mode)","6.  Test unter Schrägstellung (Indicator in hi-res mode)")</f>
        <v>6. Vehicle Tilting Test (Indicator in hi-res mode)</v>
      </c>
      <c r="B90" s="1"/>
      <c r="C90" s="6"/>
      <c r="D90" s="8"/>
      <c r="E90" s="8"/>
      <c r="F90" s="1"/>
      <c r="G90" s="1"/>
      <c r="H90" s="1" t="str">
        <f>IF($D$14="English","accordance to EN45501-2015, A.5.1","gemäß EN45501-2015, A.5.1")</f>
        <v>accordance to EN45501-2015, A.5.1</v>
      </c>
      <c r="I90" s="75"/>
      <c r="J90" s="41"/>
      <c r="K90" s="41"/>
      <c r="L90" s="73"/>
      <c r="M90" s="73"/>
      <c r="N90" s="1"/>
      <c r="O90" s="1"/>
      <c r="P90" s="1"/>
      <c r="Q90" s="1"/>
      <c r="R90" s="1"/>
      <c r="S90" s="1"/>
      <c r="T90" s="1"/>
      <c r="U90" s="1"/>
      <c r="V90" s="1"/>
      <c r="W90" s="1"/>
      <c r="X90" s="1"/>
      <c r="Y90" s="1"/>
      <c r="Z90" s="1"/>
      <c r="AA90" s="1"/>
      <c r="AB90" s="1"/>
    </row>
    <row r="91" spans="1:28" ht="12.75" customHeight="1">
      <c r="A91" s="1" t="s">
        <v>128</v>
      </c>
      <c r="B91" s="1"/>
      <c r="C91" s="6"/>
      <c r="D91" s="8"/>
      <c r="E91" s="8"/>
      <c r="F91" s="1"/>
      <c r="G91" s="41"/>
      <c r="H91" s="75"/>
      <c r="I91" s="75"/>
      <c r="J91" s="41"/>
      <c r="K91" s="41"/>
      <c r="L91" s="73"/>
      <c r="M91" s="73"/>
      <c r="N91" s="1"/>
      <c r="O91" s="1"/>
      <c r="P91" s="1"/>
      <c r="Q91" s="1"/>
      <c r="R91" s="1"/>
      <c r="S91" s="1"/>
      <c r="T91" s="1"/>
      <c r="U91" s="1"/>
      <c r="V91" s="1"/>
      <c r="W91" s="1"/>
      <c r="X91" s="1"/>
      <c r="Y91" s="1"/>
      <c r="Z91" s="1"/>
      <c r="AA91" s="1"/>
      <c r="AB91" s="1"/>
    </row>
    <row r="92" spans="1:28" ht="12.75" customHeight="1">
      <c r="A92" s="1"/>
      <c r="B92" s="1"/>
      <c r="C92" s="6"/>
      <c r="D92" s="8"/>
      <c r="E92" s="8"/>
      <c r="F92" s="1"/>
      <c r="G92" s="41"/>
      <c r="H92" s="75"/>
      <c r="I92" s="75"/>
      <c r="J92" s="41"/>
      <c r="K92" s="41"/>
      <c r="L92" s="73"/>
      <c r="M92" s="73"/>
      <c r="N92" s="1"/>
      <c r="O92" s="1"/>
      <c r="P92" s="1"/>
      <c r="Q92" s="1"/>
      <c r="R92" s="1"/>
      <c r="S92" s="1"/>
      <c r="T92" s="1"/>
      <c r="U92" s="1"/>
      <c r="V92" s="1"/>
      <c r="W92" s="1"/>
      <c r="X92" s="1"/>
      <c r="Y92" s="1"/>
      <c r="Z92" s="1"/>
      <c r="AA92" s="1"/>
      <c r="AB92" s="1"/>
    </row>
    <row r="93" spans="1:28" ht="12" customHeight="1">
      <c r="A93" s="7" t="str">
        <f>IF($D$14="English","Test load","Prüflast mindestens")</f>
        <v>Test load</v>
      </c>
      <c r="B93" s="1"/>
      <c r="C93" s="1"/>
      <c r="D93" s="188"/>
      <c r="E93" s="7" t="s">
        <v>11</v>
      </c>
      <c r="F93" s="1"/>
      <c r="G93" s="119" t="str">
        <f>IF($D$14="English","[e]:","[e]:")</f>
        <v>[e]:</v>
      </c>
      <c r="H93" s="7" t="str">
        <f>IF(OR($D$10=0,$D$93=0)," ",$D$93/$D$12)</f>
        <v xml:space="preserve"> </v>
      </c>
      <c r="I93" s="1"/>
      <c r="J93" s="41"/>
      <c r="K93" s="1"/>
      <c r="L93" s="157" t="str">
        <f>IF($D$14="English","Test load/ Max Load:","Test load/ Max Load:")</f>
        <v>Test load/ Max Load:</v>
      </c>
      <c r="M93" s="73" t="str">
        <f>IF($D$93="","",$D$93/$D$10)</f>
        <v/>
      </c>
      <c r="N93" s="1"/>
      <c r="O93" s="1"/>
      <c r="P93" s="1"/>
      <c r="Q93" s="1"/>
      <c r="R93" s="1"/>
      <c r="S93" s="1"/>
      <c r="T93" s="1"/>
      <c r="U93" s="1"/>
      <c r="V93" s="1"/>
      <c r="W93" s="1"/>
      <c r="X93" s="1"/>
      <c r="Y93" s="1"/>
      <c r="Z93" s="1"/>
      <c r="AA93" s="1"/>
      <c r="AB93" s="1"/>
    </row>
    <row r="94" spans="1:28" ht="12.75" customHeight="1">
      <c r="A94" s="158"/>
      <c r="B94" s="158"/>
      <c r="C94" s="158"/>
      <c r="D94" s="158"/>
      <c r="E94" s="158"/>
      <c r="F94" s="158"/>
      <c r="G94" s="158"/>
      <c r="H94" s="158"/>
      <c r="I94" s="158"/>
      <c r="J94" s="158"/>
      <c r="K94" s="158"/>
      <c r="L94" s="158"/>
      <c r="M94" s="7"/>
      <c r="N94" s="7"/>
      <c r="O94" s="1"/>
      <c r="P94" s="1"/>
      <c r="Q94" s="1"/>
      <c r="R94" s="1"/>
      <c r="S94" s="1"/>
      <c r="T94" s="1"/>
      <c r="U94" s="1"/>
      <c r="V94" s="1"/>
      <c r="W94" s="1"/>
      <c r="X94" s="1"/>
      <c r="Y94" s="1"/>
      <c r="Z94" s="1"/>
      <c r="AA94" s="1"/>
      <c r="AB94" s="1"/>
    </row>
    <row r="95" spans="1:28" ht="12.75" customHeight="1">
      <c r="A95" s="381" t="str">
        <f>IF($D$14="English","Tilted position","Bezugslage")</f>
        <v>Tilted position</v>
      </c>
      <c r="B95" s="223"/>
      <c r="C95" s="223"/>
      <c r="D95" s="220"/>
      <c r="E95" s="159" t="s">
        <v>138</v>
      </c>
      <c r="F95" s="361" t="s">
        <v>26</v>
      </c>
      <c r="G95" s="223"/>
      <c r="H95" s="220"/>
      <c r="I95" s="361" t="s">
        <v>27</v>
      </c>
      <c r="J95" s="220"/>
      <c r="K95" s="361" t="s">
        <v>97</v>
      </c>
      <c r="L95" s="220"/>
      <c r="M95" s="231" t="s">
        <v>29</v>
      </c>
      <c r="N95" s="220"/>
      <c r="O95" s="231" t="s">
        <v>30</v>
      </c>
      <c r="P95" s="220"/>
      <c r="Q95" s="1"/>
      <c r="R95" s="1"/>
      <c r="S95" s="1"/>
      <c r="T95" s="1"/>
      <c r="U95" s="1"/>
      <c r="V95" s="1"/>
      <c r="W95" s="1"/>
      <c r="X95" s="1"/>
      <c r="Y95" s="1"/>
      <c r="Z95" s="1"/>
      <c r="AA95" s="1"/>
      <c r="AB95" s="1"/>
    </row>
    <row r="96" spans="1:28" ht="12" customHeight="1">
      <c r="A96" s="381"/>
      <c r="B96" s="223"/>
      <c r="C96" s="223"/>
      <c r="D96" s="220"/>
      <c r="E96" s="19" t="s">
        <v>139</v>
      </c>
      <c r="F96" s="19" t="s">
        <v>32</v>
      </c>
      <c r="G96" s="239" t="s">
        <v>33</v>
      </c>
      <c r="H96" s="220"/>
      <c r="I96" s="231" t="s">
        <v>33</v>
      </c>
      <c r="J96" s="220"/>
      <c r="K96" s="231" t="s">
        <v>33</v>
      </c>
      <c r="L96" s="220"/>
      <c r="M96" s="19" t="s">
        <v>33</v>
      </c>
      <c r="N96" s="145" t="s">
        <v>32</v>
      </c>
      <c r="O96" s="231" t="s">
        <v>34</v>
      </c>
      <c r="P96" s="220"/>
      <c r="Q96" s="1"/>
      <c r="R96" s="1"/>
      <c r="S96" s="1"/>
      <c r="T96" s="1"/>
      <c r="U96" s="1"/>
      <c r="V96" s="1"/>
      <c r="W96" s="1"/>
      <c r="X96" s="1"/>
      <c r="Y96" s="1"/>
      <c r="Z96" s="1"/>
      <c r="AA96" s="1"/>
      <c r="AB96" s="1"/>
    </row>
    <row r="97" spans="1:28" ht="27" customHeight="1">
      <c r="A97" s="394"/>
      <c r="B97" s="369"/>
      <c r="C97" s="382" t="s">
        <v>140</v>
      </c>
      <c r="D97" s="324"/>
      <c r="E97" s="160" t="s">
        <v>141</v>
      </c>
      <c r="F97" s="161" t="str">
        <f t="shared" ref="F97:F101" si="43">IF($D$10=0," ",G97/$D$10)</f>
        <v xml:space="preserve"> </v>
      </c>
      <c r="G97" s="379">
        <f>$D$93</f>
        <v>0</v>
      </c>
      <c r="H97" s="220"/>
      <c r="I97" s="378"/>
      <c r="J97" s="216"/>
      <c r="K97" s="379" t="str">
        <f t="shared" ref="K97:K101" si="44">IF(I97="","",ABS(I97-G97))</f>
        <v/>
      </c>
      <c r="L97" s="220"/>
      <c r="M97" s="162">
        <f t="shared" ref="M97:M101" si="45">N97*$D$12</f>
        <v>0</v>
      </c>
      <c r="N97" s="162">
        <f t="shared" ref="N97:N101" si="46">IF($H$93=" ",0,
IF($M$3="III", (IF($H$93&lt;=500,0.5,(IF($H$93&lt;=2000,1,IF($H$93&gt;2000,1.5," ")))))*$M$93,
IF($M$3="IV", (IF($H$93&lt;=50,0.5,(IF($H$93&lt;=200,1,IF($H$93&gt;200,1.5," ")))))*$M$93
)))</f>
        <v>0</v>
      </c>
      <c r="O97" s="380" t="str">
        <f t="shared" ref="O97:O101" si="47">IF(AND(K97&lt;=M97,K97&lt;=M97),"Y","N")</f>
        <v>N</v>
      </c>
      <c r="P97" s="220"/>
      <c r="Q97" s="1"/>
      <c r="R97" s="1"/>
      <c r="S97" s="1"/>
      <c r="T97" s="1"/>
      <c r="U97" s="1"/>
      <c r="V97" s="1"/>
      <c r="W97" s="1"/>
      <c r="X97" s="1"/>
      <c r="Y97" s="1"/>
      <c r="Z97" s="1"/>
      <c r="AA97" s="1"/>
      <c r="AB97" s="1"/>
    </row>
    <row r="98" spans="1:28" ht="27" customHeight="1">
      <c r="A98" s="393"/>
      <c r="B98" s="369"/>
      <c r="C98" s="382" t="s">
        <v>142</v>
      </c>
      <c r="D98" s="324"/>
      <c r="E98" s="160" t="s">
        <v>141</v>
      </c>
      <c r="F98" s="161" t="str">
        <f t="shared" si="43"/>
        <v xml:space="preserve"> </v>
      </c>
      <c r="G98" s="379">
        <f t="shared" ref="G98:G101" si="48">$G$97</f>
        <v>0</v>
      </c>
      <c r="H98" s="220"/>
      <c r="I98" s="378"/>
      <c r="J98" s="216"/>
      <c r="K98" s="379" t="str">
        <f t="shared" si="44"/>
        <v/>
      </c>
      <c r="L98" s="220"/>
      <c r="M98" s="162">
        <f t="shared" si="45"/>
        <v>0</v>
      </c>
      <c r="N98" s="162">
        <f t="shared" si="46"/>
        <v>0</v>
      </c>
      <c r="O98" s="380" t="str">
        <f t="shared" si="47"/>
        <v>N</v>
      </c>
      <c r="P98" s="220"/>
      <c r="Q98" s="1"/>
      <c r="R98" s="1"/>
      <c r="S98" s="1"/>
      <c r="T98" s="1"/>
      <c r="U98" s="1"/>
      <c r="V98" s="1"/>
      <c r="W98" s="1"/>
      <c r="X98" s="1"/>
      <c r="Y98" s="1"/>
      <c r="Z98" s="1"/>
      <c r="AA98" s="1"/>
      <c r="AB98" s="1"/>
    </row>
    <row r="99" spans="1:28" ht="27" customHeight="1">
      <c r="A99" s="393"/>
      <c r="B99" s="369"/>
      <c r="C99" s="382" t="s">
        <v>143</v>
      </c>
      <c r="D99" s="324"/>
      <c r="E99" s="160" t="s">
        <v>141</v>
      </c>
      <c r="F99" s="161" t="str">
        <f t="shared" si="43"/>
        <v xml:space="preserve"> </v>
      </c>
      <c r="G99" s="379">
        <f t="shared" si="48"/>
        <v>0</v>
      </c>
      <c r="H99" s="220"/>
      <c r="I99" s="378"/>
      <c r="J99" s="216"/>
      <c r="K99" s="379" t="str">
        <f t="shared" si="44"/>
        <v/>
      </c>
      <c r="L99" s="220"/>
      <c r="M99" s="162">
        <f t="shared" si="45"/>
        <v>0</v>
      </c>
      <c r="N99" s="162">
        <f t="shared" si="46"/>
        <v>0</v>
      </c>
      <c r="O99" s="380" t="str">
        <f t="shared" si="47"/>
        <v>N</v>
      </c>
      <c r="P99" s="220"/>
      <c r="Q99" s="1"/>
      <c r="R99" s="1"/>
      <c r="S99" s="1"/>
      <c r="T99" s="1"/>
      <c r="U99" s="1"/>
      <c r="V99" s="1"/>
      <c r="W99" s="1"/>
      <c r="X99" s="1"/>
      <c r="Y99" s="1"/>
      <c r="Z99" s="1"/>
      <c r="AA99" s="1"/>
      <c r="AB99" s="1"/>
    </row>
    <row r="100" spans="1:28" ht="27" customHeight="1">
      <c r="A100" s="393"/>
      <c r="B100" s="369"/>
      <c r="C100" s="383" t="s">
        <v>144</v>
      </c>
      <c r="D100" s="369"/>
      <c r="E100" s="160" t="s">
        <v>141</v>
      </c>
      <c r="F100" s="161" t="str">
        <f t="shared" si="43"/>
        <v xml:space="preserve"> </v>
      </c>
      <c r="G100" s="379">
        <f t="shared" si="48"/>
        <v>0</v>
      </c>
      <c r="H100" s="220"/>
      <c r="I100" s="378"/>
      <c r="J100" s="216"/>
      <c r="K100" s="379" t="str">
        <f t="shared" si="44"/>
        <v/>
      </c>
      <c r="L100" s="220"/>
      <c r="M100" s="162">
        <f t="shared" si="45"/>
        <v>0</v>
      </c>
      <c r="N100" s="162">
        <f t="shared" si="46"/>
        <v>0</v>
      </c>
      <c r="O100" s="380" t="str">
        <f t="shared" si="47"/>
        <v>N</v>
      </c>
      <c r="P100" s="220"/>
      <c r="Q100" s="1"/>
      <c r="R100" s="1"/>
      <c r="S100" s="1"/>
      <c r="T100" s="1"/>
      <c r="U100" s="1"/>
      <c r="V100" s="1"/>
      <c r="W100" s="1"/>
      <c r="X100" s="1"/>
      <c r="Y100" s="1"/>
      <c r="Z100" s="1"/>
      <c r="AA100" s="1"/>
      <c r="AB100" s="1"/>
    </row>
    <row r="101" spans="1:28" ht="27" customHeight="1">
      <c r="A101" s="359"/>
      <c r="B101" s="220"/>
      <c r="C101" s="379" t="s">
        <v>145</v>
      </c>
      <c r="D101" s="220"/>
      <c r="E101" s="163" t="s">
        <v>141</v>
      </c>
      <c r="F101" s="161" t="str">
        <f t="shared" si="43"/>
        <v xml:space="preserve"> </v>
      </c>
      <c r="G101" s="398">
        <f t="shared" si="48"/>
        <v>0</v>
      </c>
      <c r="H101" s="220"/>
      <c r="I101" s="378"/>
      <c r="J101" s="216"/>
      <c r="K101" s="379" t="str">
        <f t="shared" si="44"/>
        <v/>
      </c>
      <c r="L101" s="220"/>
      <c r="M101" s="162">
        <f t="shared" si="45"/>
        <v>0</v>
      </c>
      <c r="N101" s="162">
        <f t="shared" si="46"/>
        <v>0</v>
      </c>
      <c r="O101" s="380" t="str">
        <f t="shared" si="47"/>
        <v>N</v>
      </c>
      <c r="P101" s="220"/>
      <c r="Q101" s="1"/>
      <c r="R101" s="1"/>
      <c r="S101" s="1"/>
      <c r="T101" s="1"/>
      <c r="U101" s="1"/>
      <c r="V101" s="1"/>
      <c r="W101" s="1"/>
      <c r="X101" s="1"/>
      <c r="Y101" s="1"/>
      <c r="Z101" s="1"/>
      <c r="AA101" s="1"/>
      <c r="AB101" s="1"/>
    </row>
    <row r="102" spans="1:28" ht="12.75" customHeight="1">
      <c r="A102" s="133"/>
      <c r="B102" s="133"/>
      <c r="C102" s="164"/>
      <c r="D102" s="164"/>
      <c r="E102" s="30"/>
      <c r="F102" s="28"/>
      <c r="G102" s="28"/>
      <c r="H102" s="28"/>
      <c r="I102" s="28"/>
      <c r="J102" s="28"/>
      <c r="K102" s="1"/>
      <c r="L102" s="1" t="s">
        <v>135</v>
      </c>
      <c r="M102" s="1"/>
      <c r="N102" s="1"/>
      <c r="O102" s="222" t="str">
        <f>IF(AND(O97="Y",O98="Y",O99="Y",O100="Y",O101="Y"),"Y","N")</f>
        <v>N</v>
      </c>
      <c r="P102" s="220"/>
      <c r="Q102" s="1"/>
      <c r="R102" s="1"/>
      <c r="S102" s="1"/>
      <c r="T102" s="1"/>
      <c r="U102" s="1"/>
      <c r="V102" s="1"/>
      <c r="W102" s="1"/>
      <c r="X102" s="1"/>
      <c r="Y102" s="1"/>
      <c r="Z102" s="1"/>
      <c r="AA102" s="1"/>
      <c r="AB102" s="1"/>
    </row>
    <row r="103" spans="1:28" ht="12.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2.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2.75" customHeight="1">
      <c r="A105" s="7" t="str">
        <f>IF($D$14="English","7.  Earth Gravity","7. Fallbeschleunigung")</f>
        <v>7.  Earth Gravity</v>
      </c>
      <c r="B105" s="46"/>
      <c r="C105" s="74"/>
      <c r="D105" s="74"/>
      <c r="E105" s="41"/>
      <c r="F105" s="41"/>
      <c r="G105" s="41"/>
      <c r="H105" s="75"/>
      <c r="I105" s="75"/>
      <c r="J105" s="41"/>
      <c r="K105" s="41"/>
      <c r="L105" s="73"/>
      <c r="M105" s="73"/>
      <c r="N105" s="42"/>
      <c r="O105" s="42"/>
      <c r="P105" s="28"/>
      <c r="Q105" s="1"/>
      <c r="R105" s="1"/>
      <c r="S105" s="1"/>
      <c r="T105" s="1"/>
      <c r="U105" s="1"/>
      <c r="V105" s="1"/>
      <c r="W105" s="1"/>
      <c r="X105" s="1"/>
      <c r="Y105" s="1"/>
      <c r="Z105" s="1"/>
      <c r="AA105" s="1"/>
      <c r="AB105" s="1"/>
    </row>
    <row r="106" spans="1:28" ht="12.75" customHeight="1">
      <c r="A106" s="7" t="str">
        <f>IF($D$14="English","Verification for: g=","Prüfung für: g=")</f>
        <v>Verification for: g=</v>
      </c>
      <c r="B106" s="46"/>
      <c r="C106" s="74"/>
      <c r="D106" s="260"/>
      <c r="E106" s="216"/>
      <c r="F106" s="41"/>
      <c r="G106" s="41"/>
      <c r="H106" s="176" t="s">
        <v>80</v>
      </c>
      <c r="I106" s="7" t="str">
        <f>IF($D$14="English","Not required","vernachlässigbar")</f>
        <v>Not required</v>
      </c>
      <c r="J106" s="41"/>
      <c r="K106" s="41"/>
      <c r="L106" s="73"/>
      <c r="M106" s="73"/>
      <c r="N106" s="1"/>
      <c r="O106" s="1"/>
      <c r="P106" s="1"/>
      <c r="Q106" s="1"/>
      <c r="R106" s="1"/>
      <c r="S106" s="1"/>
      <c r="T106" s="1"/>
      <c r="U106" s="1"/>
      <c r="V106" s="1"/>
      <c r="W106" s="1"/>
      <c r="X106" s="1"/>
      <c r="Y106" s="1"/>
      <c r="Z106" s="1"/>
      <c r="AA106" s="1"/>
      <c r="AB106" s="1"/>
    </row>
    <row r="107" spans="1:28" ht="12.75" customHeight="1">
      <c r="A107" s="45"/>
      <c r="B107" s="46"/>
      <c r="C107" s="74"/>
      <c r="D107" s="260"/>
      <c r="E107" s="216"/>
      <c r="F107" s="41"/>
      <c r="G107" s="41"/>
      <c r="H107" s="75"/>
      <c r="I107" s="75"/>
      <c r="J107" s="41"/>
      <c r="K107" s="41"/>
      <c r="L107" s="73"/>
      <c r="M107" s="73"/>
      <c r="N107" s="1"/>
      <c r="O107" s="1"/>
      <c r="P107" s="1"/>
      <c r="Q107" s="1"/>
      <c r="R107" s="1"/>
      <c r="S107" s="1"/>
      <c r="T107" s="1"/>
      <c r="U107" s="1"/>
      <c r="V107" s="1"/>
      <c r="W107" s="1"/>
      <c r="X107" s="1"/>
      <c r="Y107" s="1"/>
      <c r="Z107" s="1"/>
      <c r="AA107" s="1"/>
      <c r="AB107" s="1"/>
    </row>
    <row r="108" spans="1:28" ht="12.75" customHeight="1">
      <c r="A108" s="45"/>
      <c r="B108" s="46"/>
      <c r="C108" s="74"/>
      <c r="D108" s="74"/>
      <c r="E108" s="74"/>
      <c r="F108" s="41"/>
      <c r="G108" s="41"/>
      <c r="H108" s="75"/>
      <c r="I108" s="75"/>
      <c r="J108" s="41"/>
      <c r="K108" s="41"/>
      <c r="L108" s="73"/>
      <c r="M108" s="73"/>
      <c r="N108" s="1"/>
      <c r="O108" s="1"/>
      <c r="P108" s="1"/>
      <c r="Q108" s="1"/>
      <c r="R108" s="1"/>
      <c r="S108" s="1"/>
      <c r="T108" s="1"/>
      <c r="U108" s="1"/>
      <c r="V108" s="1"/>
      <c r="W108" s="1"/>
      <c r="X108" s="1"/>
      <c r="Y108" s="1"/>
      <c r="Z108" s="1"/>
      <c r="AA108" s="1"/>
      <c r="AB108" s="1"/>
    </row>
    <row r="109" spans="1:28" ht="12.75" customHeight="1">
      <c r="A109" s="76" t="str">
        <f>IF($D$14="English","place of installation:","Ort der Inbetriebnahme:")</f>
        <v>place of installation:</v>
      </c>
      <c r="B109" s="1"/>
      <c r="C109" s="1"/>
      <c r="D109" s="1"/>
      <c r="E109" s="253"/>
      <c r="F109" s="215"/>
      <c r="G109" s="215"/>
      <c r="H109" s="215"/>
      <c r="I109" s="215"/>
      <c r="J109" s="215"/>
      <c r="K109" s="215"/>
      <c r="L109" s="215"/>
      <c r="M109" s="215"/>
      <c r="N109" s="215"/>
      <c r="O109" s="215"/>
      <c r="P109" s="215"/>
      <c r="Q109" s="261"/>
      <c r="R109" s="1"/>
      <c r="S109" s="1"/>
      <c r="T109" s="1"/>
      <c r="U109" s="1"/>
      <c r="V109" s="1"/>
      <c r="W109" s="1"/>
      <c r="X109" s="1"/>
      <c r="Y109" s="1"/>
      <c r="Z109" s="1"/>
      <c r="AA109" s="1"/>
      <c r="AB109" s="1"/>
    </row>
    <row r="110" spans="1:28" ht="12.75" customHeight="1">
      <c r="A110" s="77"/>
      <c r="B110" s="1"/>
      <c r="C110" s="1"/>
      <c r="D110" s="1"/>
      <c r="E110" s="253"/>
      <c r="F110" s="215"/>
      <c r="G110" s="215"/>
      <c r="H110" s="215"/>
      <c r="I110" s="215"/>
      <c r="J110" s="215"/>
      <c r="K110" s="215"/>
      <c r="L110" s="215"/>
      <c r="M110" s="215"/>
      <c r="N110" s="215"/>
      <c r="O110" s="215"/>
      <c r="P110" s="215"/>
      <c r="Q110" s="261"/>
      <c r="R110" s="1"/>
      <c r="S110" s="1"/>
      <c r="T110" s="1"/>
      <c r="U110" s="1"/>
      <c r="V110" s="1"/>
      <c r="W110" s="1"/>
      <c r="X110" s="1"/>
      <c r="Y110" s="1"/>
      <c r="Z110" s="1"/>
      <c r="AA110" s="1"/>
      <c r="AB110" s="1"/>
    </row>
    <row r="111" spans="1:28" ht="12.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8" customHeight="1">
      <c r="A112" s="76" t="str">
        <f>IF($D$14="English","Calibration Counter C:","Kalibrierzähler C:")</f>
        <v>Calibration Counter C:</v>
      </c>
      <c r="B112" s="1"/>
      <c r="C112" s="1"/>
      <c r="D112" s="1"/>
      <c r="E112" s="253"/>
      <c r="F112" s="216"/>
      <c r="G112" s="17"/>
      <c r="H112" s="41"/>
      <c r="I112" s="41"/>
      <c r="J112" s="41"/>
      <c r="K112" s="41"/>
      <c r="L112" s="73"/>
      <c r="M112" s="73"/>
      <c r="N112" s="1"/>
      <c r="O112" s="1"/>
      <c r="P112" s="1"/>
      <c r="Q112" s="1"/>
      <c r="R112" s="1"/>
      <c r="S112" s="1"/>
      <c r="T112" s="1"/>
      <c r="U112" s="1"/>
      <c r="V112" s="1"/>
      <c r="W112" s="1"/>
      <c r="X112" s="1"/>
      <c r="Y112" s="1"/>
      <c r="Z112" s="1"/>
      <c r="AA112" s="1"/>
      <c r="AB112" s="1"/>
    </row>
    <row r="113" spans="1:28" ht="12.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2.75" customHeight="1">
      <c r="A114" s="78"/>
      <c r="B114" s="78" t="str">
        <f>IF($D$14="English","Note:  If the scale  fails any test, it should not be used!","Anmerkung: Falls ein Test nicht bestanden ist, ist die Waage nicht eichfähig!")</f>
        <v>Note:  If the scale  fails any test, it should not be used!</v>
      </c>
      <c r="C114" s="74"/>
      <c r="D114" s="41"/>
      <c r="E114" s="41"/>
      <c r="F114" s="41"/>
      <c r="G114" s="17"/>
      <c r="H114" s="41"/>
      <c r="I114" s="41"/>
      <c r="J114" s="41"/>
      <c r="K114" s="41"/>
      <c r="L114" s="73"/>
      <c r="M114" s="73"/>
      <c r="N114" s="1"/>
      <c r="O114" s="1"/>
      <c r="P114" s="1"/>
      <c r="Q114" s="1"/>
      <c r="R114" s="1"/>
      <c r="S114" s="1"/>
      <c r="T114" s="1"/>
      <c r="U114" s="1"/>
      <c r="V114" s="1"/>
      <c r="W114" s="1"/>
      <c r="X114" s="1"/>
      <c r="Y114" s="1"/>
      <c r="Z114" s="1"/>
      <c r="AA114" s="1"/>
      <c r="AB114" s="1"/>
    </row>
    <row r="115" spans="1:28" ht="12.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2.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2.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7.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2.75" customHeight="1">
      <c r="A119" s="99"/>
      <c r="B119" s="99"/>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2.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5" customHeight="1">
      <c r="A121" s="1"/>
      <c r="B121" s="79"/>
      <c r="C121" s="80"/>
      <c r="D121" s="80"/>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2.75" customHeight="1">
      <c r="A122" s="1"/>
      <c r="B122" s="23"/>
      <c r="C122" s="23"/>
      <c r="D122" s="23"/>
      <c r="E122" s="1"/>
      <c r="F122" s="8"/>
      <c r="G122" s="1"/>
      <c r="H122" s="81"/>
      <c r="I122" s="13"/>
      <c r="J122" s="1"/>
      <c r="K122" s="1"/>
      <c r="L122" s="1"/>
      <c r="M122" s="1"/>
      <c r="N122" s="1"/>
      <c r="O122" s="1"/>
      <c r="P122" s="1"/>
      <c r="Q122" s="1"/>
      <c r="R122" s="1"/>
      <c r="S122" s="1"/>
      <c r="T122" s="1"/>
      <c r="U122" s="1"/>
      <c r="V122" s="1"/>
      <c r="W122" s="1"/>
      <c r="X122" s="1"/>
      <c r="Y122" s="1"/>
      <c r="Z122" s="1"/>
      <c r="AA122" s="1"/>
      <c r="AB122" s="1"/>
    </row>
    <row r="123" spans="1:28" ht="12.75" customHeight="1">
      <c r="A123" s="1"/>
      <c r="B123" s="23"/>
      <c r="C123" s="23"/>
      <c r="D123" s="23"/>
      <c r="E123" s="1"/>
      <c r="F123" s="8"/>
      <c r="G123" s="1"/>
      <c r="H123" s="81"/>
      <c r="I123" s="13"/>
      <c r="J123" s="1"/>
      <c r="K123" s="1"/>
      <c r="L123" s="1"/>
      <c r="M123" s="1"/>
      <c r="N123" s="1"/>
      <c r="O123" s="1"/>
      <c r="P123" s="1"/>
      <c r="Q123" s="1"/>
      <c r="R123" s="1"/>
      <c r="S123" s="1"/>
      <c r="T123" s="1"/>
      <c r="U123" s="1"/>
      <c r="V123" s="1"/>
      <c r="W123" s="1"/>
      <c r="X123" s="1"/>
      <c r="Y123" s="1"/>
      <c r="Z123" s="1"/>
      <c r="AA123" s="1"/>
      <c r="AB123" s="1"/>
    </row>
    <row r="124" spans="1:28" ht="13.5" customHeight="1">
      <c r="A124" s="1"/>
      <c r="B124" s="23"/>
      <c r="C124" s="23"/>
      <c r="D124" s="23"/>
      <c r="E124" s="1"/>
      <c r="F124" s="8"/>
      <c r="G124" s="1"/>
      <c r="H124" s="81"/>
      <c r="I124" s="13"/>
      <c r="J124" s="1"/>
      <c r="K124" s="1"/>
      <c r="L124" s="1"/>
      <c r="M124" s="1"/>
      <c r="N124" s="1"/>
      <c r="O124" s="1"/>
      <c r="P124" s="1"/>
      <c r="Q124" s="1"/>
      <c r="R124" s="1"/>
      <c r="S124" s="1"/>
      <c r="T124" s="1"/>
      <c r="U124" s="1"/>
      <c r="V124" s="1"/>
      <c r="W124" s="1"/>
      <c r="X124" s="1"/>
      <c r="Y124" s="1"/>
      <c r="Z124" s="1"/>
      <c r="AA124" s="1"/>
      <c r="AB124" s="1"/>
    </row>
    <row r="125" spans="1:28" ht="12.75" customHeight="1">
      <c r="A125" s="1"/>
      <c r="B125" s="23"/>
      <c r="C125" s="23"/>
      <c r="D125" s="23"/>
      <c r="E125" s="1"/>
      <c r="F125" s="8"/>
      <c r="G125" s="1"/>
      <c r="H125" s="81"/>
      <c r="I125" s="13"/>
      <c r="J125" s="1"/>
      <c r="K125" s="1"/>
      <c r="L125" s="1"/>
      <c r="M125" s="1"/>
      <c r="N125" s="1"/>
      <c r="O125" s="1"/>
      <c r="P125" s="1"/>
      <c r="Q125" s="1"/>
      <c r="R125" s="1"/>
      <c r="S125" s="1"/>
      <c r="T125" s="1"/>
      <c r="U125" s="1"/>
      <c r="V125" s="1"/>
      <c r="W125" s="1"/>
      <c r="X125" s="1"/>
      <c r="Y125" s="1"/>
      <c r="Z125" s="1"/>
      <c r="AA125" s="1"/>
      <c r="AB125" s="1"/>
    </row>
    <row r="126" spans="1:28" ht="12.75" customHeight="1">
      <c r="A126" s="1"/>
      <c r="B126" s="23"/>
      <c r="C126" s="23"/>
      <c r="D126" s="23"/>
      <c r="E126" s="1"/>
      <c r="F126" s="8"/>
      <c r="G126" s="1"/>
      <c r="H126" s="81"/>
      <c r="I126" s="13"/>
      <c r="J126" s="1"/>
      <c r="K126" s="1"/>
      <c r="L126" s="1"/>
      <c r="M126" s="1"/>
      <c r="N126" s="1"/>
      <c r="O126" s="1"/>
      <c r="P126" s="1"/>
      <c r="Q126" s="1"/>
      <c r="R126" s="1"/>
      <c r="S126" s="1"/>
      <c r="T126" s="1"/>
      <c r="U126" s="1"/>
      <c r="V126" s="1"/>
      <c r="W126" s="1"/>
      <c r="X126" s="1"/>
      <c r="Y126" s="1"/>
      <c r="Z126" s="1"/>
      <c r="AA126" s="1"/>
      <c r="AB126" s="1"/>
    </row>
    <row r="127" spans="1:28" ht="12" customHeight="1">
      <c r="A127" s="1"/>
      <c r="B127" s="23"/>
      <c r="C127" s="23"/>
      <c r="D127" s="23"/>
      <c r="E127" s="1"/>
      <c r="F127" s="8"/>
      <c r="G127" s="1"/>
      <c r="H127" s="81"/>
      <c r="I127" s="13"/>
      <c r="J127" s="1"/>
      <c r="K127" s="1"/>
      <c r="L127" s="1"/>
      <c r="M127" s="1"/>
      <c r="N127" s="1"/>
      <c r="O127" s="1"/>
      <c r="P127" s="1"/>
      <c r="Q127" s="1"/>
      <c r="R127" s="1"/>
      <c r="S127" s="1"/>
      <c r="T127" s="1"/>
      <c r="U127" s="1"/>
      <c r="V127" s="1"/>
      <c r="W127" s="1"/>
      <c r="X127" s="1"/>
      <c r="Y127" s="1"/>
      <c r="Z127" s="1"/>
      <c r="AA127" s="1"/>
      <c r="AB127" s="1"/>
    </row>
    <row r="128" spans="1:28" ht="12" customHeight="1">
      <c r="A128" s="1"/>
      <c r="B128" s="23"/>
      <c r="C128" s="23"/>
      <c r="D128" s="23"/>
      <c r="E128" s="1"/>
      <c r="F128" s="8"/>
      <c r="G128" s="1"/>
      <c r="H128" s="81"/>
      <c r="I128" s="13"/>
      <c r="J128" s="1"/>
      <c r="K128" s="1"/>
      <c r="L128" s="1"/>
      <c r="M128" s="1"/>
      <c r="N128" s="1"/>
      <c r="O128" s="1"/>
      <c r="P128" s="1"/>
      <c r="Q128" s="1"/>
      <c r="R128" s="1"/>
      <c r="S128" s="1"/>
      <c r="T128" s="1"/>
      <c r="U128" s="1"/>
      <c r="V128" s="1"/>
      <c r="W128" s="1"/>
      <c r="X128" s="1"/>
      <c r="Y128" s="1"/>
      <c r="Z128" s="1"/>
      <c r="AA128" s="1"/>
      <c r="AB128" s="1"/>
    </row>
    <row r="129" spans="1:28" ht="12" customHeight="1">
      <c r="A129" s="1"/>
      <c r="B129" s="23"/>
      <c r="C129" s="23"/>
      <c r="D129" s="23"/>
      <c r="E129" s="1"/>
      <c r="F129" s="8"/>
      <c r="G129" s="1"/>
      <c r="H129" s="81"/>
      <c r="I129" s="13"/>
      <c r="J129" s="1"/>
      <c r="K129" s="1"/>
      <c r="L129" s="1"/>
      <c r="M129" s="1"/>
      <c r="N129" s="1"/>
      <c r="O129" s="1"/>
      <c r="P129" s="1"/>
      <c r="Q129" s="1"/>
      <c r="R129" s="1"/>
      <c r="S129" s="1"/>
      <c r="T129" s="1"/>
      <c r="U129" s="1"/>
      <c r="V129" s="1"/>
      <c r="W129" s="1"/>
      <c r="X129" s="1"/>
      <c r="Y129" s="1"/>
      <c r="Z129" s="1"/>
      <c r="AA129" s="1"/>
      <c r="AB129" s="1"/>
    </row>
    <row r="130" spans="1:28" ht="12" customHeight="1">
      <c r="A130" s="1"/>
      <c r="B130" s="23"/>
      <c r="C130" s="23"/>
      <c r="D130" s="23"/>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2" customHeight="1">
      <c r="A131" s="1"/>
      <c r="B131" s="23"/>
      <c r="C131" s="23"/>
      <c r="D131" s="23"/>
      <c r="E131" s="1"/>
      <c r="F131" s="8"/>
      <c r="G131" s="1"/>
      <c r="H131" s="81"/>
      <c r="I131" s="13"/>
      <c r="J131" s="1"/>
      <c r="K131" s="1"/>
      <c r="L131" s="1"/>
      <c r="M131" s="1"/>
      <c r="N131" s="1"/>
      <c r="O131" s="1"/>
      <c r="P131" s="1"/>
      <c r="Q131" s="1"/>
      <c r="R131" s="1"/>
      <c r="S131" s="1"/>
      <c r="T131" s="1"/>
      <c r="U131" s="1"/>
      <c r="V131" s="1"/>
      <c r="W131" s="1"/>
      <c r="X131" s="1"/>
      <c r="Y131" s="1"/>
      <c r="Z131" s="1"/>
      <c r="AA131" s="1"/>
      <c r="AB131" s="1"/>
    </row>
    <row r="132" spans="1:28" ht="12" customHeight="1">
      <c r="A132" s="1"/>
      <c r="B132" s="23"/>
      <c r="C132" s="23"/>
      <c r="D132" s="23"/>
      <c r="E132" s="1"/>
      <c r="F132" s="8"/>
      <c r="G132" s="1"/>
      <c r="H132" s="81"/>
      <c r="I132" s="13"/>
      <c r="J132" s="1"/>
      <c r="K132" s="1"/>
      <c r="L132" s="1"/>
      <c r="M132" s="1"/>
      <c r="N132" s="1"/>
      <c r="O132" s="1"/>
      <c r="P132" s="1"/>
      <c r="Q132" s="1"/>
      <c r="R132" s="1"/>
      <c r="S132" s="1"/>
      <c r="T132" s="1"/>
      <c r="U132" s="1"/>
      <c r="V132" s="1"/>
      <c r="W132" s="1"/>
      <c r="X132" s="1"/>
      <c r="Y132" s="1"/>
      <c r="Z132" s="1"/>
      <c r="AA132" s="1"/>
      <c r="AB132" s="1"/>
    </row>
    <row r="133" spans="1:28" ht="12" customHeight="1">
      <c r="A133" s="1"/>
      <c r="B133" s="23"/>
      <c r="C133" s="23"/>
      <c r="D133" s="23"/>
      <c r="E133" s="1"/>
      <c r="F133" s="8"/>
      <c r="G133" s="1"/>
      <c r="H133" s="81"/>
      <c r="I133" s="13"/>
      <c r="J133" s="1"/>
      <c r="K133" s="1"/>
      <c r="L133" s="1"/>
      <c r="M133" s="1"/>
      <c r="N133" s="1"/>
      <c r="O133" s="1"/>
      <c r="P133" s="1"/>
      <c r="Q133" s="1"/>
      <c r="R133" s="1"/>
      <c r="S133" s="1"/>
      <c r="T133" s="1"/>
      <c r="U133" s="1"/>
      <c r="V133" s="1"/>
      <c r="W133" s="1"/>
      <c r="X133" s="1"/>
      <c r="Y133" s="1"/>
      <c r="Z133" s="1"/>
      <c r="AA133" s="1"/>
      <c r="AB133" s="1"/>
    </row>
    <row r="134" spans="1:28" ht="12" customHeight="1">
      <c r="A134" s="1"/>
      <c r="B134" s="23"/>
      <c r="C134" s="23"/>
      <c r="D134" s="23"/>
      <c r="E134" s="1"/>
      <c r="F134" s="8"/>
      <c r="G134" s="1"/>
      <c r="H134" s="81"/>
      <c r="I134" s="13"/>
      <c r="J134" s="1"/>
      <c r="K134" s="1"/>
      <c r="L134" s="1"/>
      <c r="M134" s="1"/>
      <c r="N134" s="1"/>
      <c r="O134" s="1"/>
      <c r="P134" s="1"/>
      <c r="Q134" s="1"/>
      <c r="R134" s="1"/>
      <c r="S134" s="1"/>
      <c r="T134" s="1"/>
      <c r="U134" s="1"/>
      <c r="V134" s="1"/>
      <c r="W134" s="1"/>
      <c r="X134" s="1"/>
      <c r="Y134" s="1"/>
      <c r="Z134" s="1"/>
      <c r="AA134" s="1"/>
      <c r="AB134" s="1"/>
    </row>
    <row r="135" spans="1:28" ht="12" customHeight="1">
      <c r="A135" s="1"/>
      <c r="B135" s="23"/>
      <c r="C135" s="23"/>
      <c r="D135" s="23"/>
      <c r="E135" s="1"/>
      <c r="F135" s="8"/>
      <c r="G135" s="1"/>
      <c r="H135" s="81"/>
      <c r="I135" s="13"/>
      <c r="J135" s="1"/>
      <c r="K135" s="1"/>
      <c r="L135" s="1"/>
      <c r="M135" s="1"/>
      <c r="N135" s="1"/>
      <c r="O135" s="1"/>
      <c r="P135" s="1"/>
      <c r="Q135" s="1"/>
      <c r="R135" s="1"/>
      <c r="S135" s="1"/>
      <c r="T135" s="1"/>
      <c r="U135" s="1"/>
      <c r="V135" s="1"/>
      <c r="W135" s="1"/>
      <c r="X135" s="1"/>
      <c r="Y135" s="1"/>
      <c r="Z135" s="1"/>
      <c r="AA135" s="1"/>
      <c r="AB135" s="1"/>
    </row>
    <row r="136" spans="1:28" ht="12" customHeight="1">
      <c r="A136" s="1"/>
      <c r="B136" s="23"/>
      <c r="C136" s="23"/>
      <c r="D136" s="23"/>
      <c r="E136" s="1"/>
      <c r="F136" s="8"/>
      <c r="G136" s="1"/>
      <c r="H136" s="81"/>
      <c r="I136" s="13"/>
      <c r="J136" s="1"/>
      <c r="K136" s="1"/>
      <c r="L136" s="1"/>
      <c r="M136" s="1"/>
      <c r="N136" s="1"/>
      <c r="O136" s="1"/>
      <c r="P136" s="1"/>
      <c r="Q136" s="1"/>
      <c r="R136" s="1"/>
      <c r="S136" s="1"/>
      <c r="T136" s="1"/>
      <c r="U136" s="1"/>
      <c r="V136" s="1"/>
      <c r="W136" s="1"/>
      <c r="X136" s="1"/>
      <c r="Y136" s="1"/>
      <c r="Z136" s="1"/>
      <c r="AA136" s="1"/>
      <c r="AB136" s="1"/>
    </row>
    <row r="137" spans="1:28" ht="12" customHeight="1">
      <c r="A137" s="1"/>
      <c r="B137" s="23"/>
      <c r="C137" s="23"/>
      <c r="D137" s="23"/>
      <c r="E137" s="1"/>
      <c r="F137" s="8"/>
      <c r="G137" s="1"/>
      <c r="H137" s="81"/>
      <c r="I137" s="13"/>
      <c r="J137" s="1"/>
      <c r="K137" s="1"/>
      <c r="L137" s="1"/>
      <c r="M137" s="1"/>
      <c r="N137" s="1"/>
      <c r="O137" s="1"/>
      <c r="P137" s="1"/>
      <c r="Q137" s="1"/>
      <c r="R137" s="1"/>
      <c r="S137" s="1"/>
      <c r="T137" s="1"/>
      <c r="U137" s="1"/>
      <c r="V137" s="1"/>
      <c r="W137" s="1"/>
      <c r="X137" s="1"/>
      <c r="Y137" s="1"/>
      <c r="Z137" s="1"/>
      <c r="AA137" s="1"/>
      <c r="AB137" s="1"/>
    </row>
    <row r="138" spans="1:28" ht="12" customHeight="1">
      <c r="A138" s="1"/>
      <c r="B138" s="23"/>
      <c r="C138" s="23"/>
      <c r="D138" s="23"/>
      <c r="E138" s="1"/>
      <c r="F138" s="8"/>
      <c r="G138" s="1"/>
      <c r="H138" s="81"/>
      <c r="I138" s="13"/>
      <c r="J138" s="1"/>
      <c r="K138" s="1"/>
      <c r="L138" s="1"/>
      <c r="M138" s="1"/>
      <c r="N138" s="1"/>
      <c r="O138" s="1"/>
      <c r="P138" s="1"/>
      <c r="Q138" s="1"/>
      <c r="R138" s="1"/>
      <c r="S138" s="1"/>
      <c r="T138" s="1"/>
      <c r="U138" s="1"/>
      <c r="V138" s="1"/>
      <c r="W138" s="1"/>
      <c r="X138" s="1"/>
      <c r="Y138" s="1"/>
      <c r="Z138" s="1"/>
      <c r="AA138" s="1"/>
      <c r="AB138" s="1"/>
    </row>
    <row r="139" spans="1:28" ht="12" customHeight="1">
      <c r="A139" s="1"/>
      <c r="B139" s="23"/>
      <c r="C139" s="23"/>
      <c r="D139" s="23"/>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2" customHeight="1">
      <c r="A140" s="1"/>
      <c r="B140" s="23"/>
      <c r="C140" s="23"/>
      <c r="D140" s="23"/>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2" customHeight="1">
      <c r="A141" s="1"/>
      <c r="B141" s="23"/>
      <c r="C141" s="23"/>
      <c r="D141" s="23"/>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2" customHeight="1">
      <c r="A142" s="1"/>
      <c r="B142" s="23"/>
      <c r="C142" s="23"/>
      <c r="D142" s="23"/>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2" customHeight="1">
      <c r="A143" s="1"/>
      <c r="B143" s="23"/>
      <c r="C143" s="23"/>
      <c r="D143" s="23"/>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2" customHeight="1">
      <c r="A144" s="1"/>
      <c r="B144" s="23"/>
      <c r="C144" s="23"/>
      <c r="D144" s="23"/>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2" customHeight="1">
      <c r="A145" s="1"/>
      <c r="B145" s="23"/>
      <c r="C145" s="23"/>
      <c r="D145" s="23"/>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2" customHeight="1">
      <c r="A146" s="1"/>
      <c r="B146" s="23"/>
      <c r="C146" s="23"/>
      <c r="D146" s="23"/>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2" customHeight="1">
      <c r="A147" s="1"/>
      <c r="B147" s="23"/>
      <c r="C147" s="23"/>
      <c r="D147" s="23"/>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2" customHeight="1">
      <c r="A148" s="1"/>
      <c r="B148" s="23"/>
      <c r="C148" s="23"/>
      <c r="D148" s="23"/>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2" customHeight="1">
      <c r="A149" s="1"/>
      <c r="B149" s="23"/>
      <c r="C149" s="23"/>
      <c r="D149" s="23"/>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2" customHeight="1">
      <c r="A150" s="1"/>
      <c r="B150" s="23"/>
      <c r="C150" s="23"/>
      <c r="D150" s="23"/>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2" customHeight="1">
      <c r="A151" s="1"/>
      <c r="B151" s="23"/>
      <c r="C151" s="23"/>
      <c r="D151" s="23"/>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2" customHeight="1">
      <c r="A152" s="1"/>
      <c r="B152" s="23"/>
      <c r="C152" s="23"/>
      <c r="D152" s="23"/>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2" customHeight="1">
      <c r="A153" s="1"/>
      <c r="B153" s="23"/>
      <c r="C153" s="23"/>
      <c r="D153" s="23"/>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2" customHeight="1">
      <c r="A154" s="1"/>
      <c r="B154" s="23"/>
      <c r="C154" s="23"/>
      <c r="D154" s="23"/>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2" customHeight="1">
      <c r="A155" s="1"/>
      <c r="B155" s="23"/>
      <c r="C155" s="23"/>
      <c r="D155" s="23"/>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2" customHeight="1">
      <c r="A156" s="1"/>
      <c r="B156" s="23"/>
      <c r="C156" s="23"/>
      <c r="D156" s="23"/>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2" customHeight="1">
      <c r="A157" s="1"/>
      <c r="B157" s="23"/>
      <c r="C157" s="23"/>
      <c r="D157" s="23"/>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2" customHeight="1">
      <c r="A158" s="1"/>
      <c r="B158" s="23"/>
      <c r="C158" s="23"/>
      <c r="D158" s="23"/>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2" customHeight="1">
      <c r="A159" s="1"/>
      <c r="B159" s="23"/>
      <c r="C159" s="23"/>
      <c r="D159" s="23"/>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2" customHeight="1">
      <c r="A160" s="1"/>
      <c r="B160" s="23"/>
      <c r="C160" s="23"/>
      <c r="D160" s="23"/>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2" customHeight="1">
      <c r="A161" s="1"/>
      <c r="B161" s="23"/>
      <c r="C161" s="23"/>
      <c r="D161" s="23"/>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2" customHeight="1">
      <c r="A162" s="1"/>
      <c r="B162" s="23"/>
      <c r="C162" s="23"/>
      <c r="D162" s="23"/>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2" customHeight="1">
      <c r="A163" s="1"/>
      <c r="B163" s="23"/>
      <c r="C163" s="23"/>
      <c r="D163" s="23"/>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2" customHeight="1">
      <c r="A164" s="1"/>
      <c r="B164" s="23"/>
      <c r="C164" s="23"/>
      <c r="D164" s="23"/>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2" customHeight="1">
      <c r="A165" s="1"/>
      <c r="B165" s="23"/>
      <c r="C165" s="23"/>
      <c r="D165" s="23"/>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2" customHeight="1">
      <c r="A166" s="1"/>
      <c r="B166" s="23"/>
      <c r="C166" s="23"/>
      <c r="D166" s="23"/>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2" customHeight="1">
      <c r="A167" s="1"/>
      <c r="B167" s="23"/>
      <c r="C167" s="23"/>
      <c r="D167" s="23"/>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2" customHeight="1">
      <c r="A168" s="1"/>
      <c r="B168" s="23"/>
      <c r="C168" s="23"/>
      <c r="D168" s="23"/>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2" customHeight="1">
      <c r="A169" s="1"/>
      <c r="B169" s="23"/>
      <c r="C169" s="23"/>
      <c r="D169" s="23"/>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2" customHeight="1">
      <c r="A170" s="1"/>
      <c r="B170" s="23"/>
      <c r="C170" s="23"/>
      <c r="D170" s="23"/>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2" customHeight="1">
      <c r="A171" s="1"/>
      <c r="B171" s="23"/>
      <c r="C171" s="23"/>
      <c r="D171" s="23"/>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2" customHeight="1">
      <c r="A172" s="1"/>
      <c r="B172" s="23"/>
      <c r="C172" s="23"/>
      <c r="D172" s="23"/>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2" customHeight="1">
      <c r="A173" s="1"/>
      <c r="B173" s="23"/>
      <c r="C173" s="23"/>
      <c r="D173" s="23"/>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2" customHeight="1">
      <c r="A174" s="1"/>
      <c r="B174" s="23"/>
      <c r="C174" s="23"/>
      <c r="D174" s="23"/>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2" customHeight="1">
      <c r="A175" s="1"/>
      <c r="B175" s="23"/>
      <c r="C175" s="23"/>
      <c r="D175" s="23"/>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2" customHeight="1">
      <c r="A176" s="1"/>
      <c r="B176" s="23"/>
      <c r="C176" s="23"/>
      <c r="D176" s="23"/>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2" customHeight="1">
      <c r="A177" s="1"/>
      <c r="B177" s="23"/>
      <c r="C177" s="23"/>
      <c r="D177" s="23"/>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2" customHeight="1">
      <c r="A178" s="1"/>
      <c r="B178" s="23"/>
      <c r="C178" s="23"/>
      <c r="D178" s="23"/>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2" customHeight="1">
      <c r="A179" s="1"/>
      <c r="B179" s="23"/>
      <c r="C179" s="23"/>
      <c r="D179" s="23"/>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2" customHeight="1">
      <c r="A180" s="1"/>
      <c r="B180" s="23"/>
      <c r="C180" s="23"/>
      <c r="D180" s="23"/>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2" customHeight="1">
      <c r="A181" s="1"/>
      <c r="B181" s="23"/>
      <c r="C181" s="23"/>
      <c r="D181" s="23"/>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2" customHeight="1">
      <c r="A182" s="1"/>
      <c r="B182" s="23"/>
      <c r="C182" s="23"/>
      <c r="D182" s="23"/>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2" customHeight="1">
      <c r="A183" s="1"/>
      <c r="B183" s="23"/>
      <c r="C183" s="23"/>
      <c r="D183" s="23"/>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2" customHeight="1">
      <c r="A184" s="1"/>
      <c r="B184" s="23"/>
      <c r="C184" s="23"/>
      <c r="D184" s="23"/>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2" customHeight="1">
      <c r="A185" s="1"/>
      <c r="B185" s="23"/>
      <c r="C185" s="23"/>
      <c r="D185" s="23"/>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2" customHeight="1">
      <c r="A186" s="1"/>
      <c r="B186" s="23"/>
      <c r="C186" s="23"/>
      <c r="D186" s="23"/>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2" customHeight="1">
      <c r="A187" s="1"/>
      <c r="B187" s="23"/>
      <c r="C187" s="23"/>
      <c r="D187" s="23"/>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2" customHeight="1">
      <c r="A188" s="1"/>
      <c r="B188" s="23"/>
      <c r="C188" s="23"/>
      <c r="D188" s="23"/>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2" customHeight="1">
      <c r="A189" s="1"/>
      <c r="B189" s="23"/>
      <c r="C189" s="23"/>
      <c r="D189" s="23"/>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2" customHeight="1">
      <c r="A190" s="1"/>
      <c r="B190" s="23"/>
      <c r="C190" s="23"/>
      <c r="D190" s="23"/>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2" customHeight="1">
      <c r="A191" s="1"/>
      <c r="B191" s="23"/>
      <c r="C191" s="23"/>
      <c r="D191" s="23"/>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2" customHeight="1">
      <c r="A192" s="1"/>
      <c r="B192" s="23"/>
      <c r="C192" s="23"/>
      <c r="D192" s="23"/>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2" customHeight="1">
      <c r="A193" s="1"/>
      <c r="B193" s="23"/>
      <c r="C193" s="23"/>
      <c r="D193" s="23"/>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2" customHeight="1">
      <c r="A194" s="1"/>
      <c r="B194" s="23"/>
      <c r="C194" s="23"/>
      <c r="D194" s="23"/>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2" customHeight="1">
      <c r="A195" s="1"/>
      <c r="B195" s="23"/>
      <c r="C195" s="23"/>
      <c r="D195" s="23"/>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2" customHeight="1">
      <c r="A196" s="1"/>
      <c r="B196" s="23"/>
      <c r="C196" s="23"/>
      <c r="D196" s="23"/>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2" customHeight="1">
      <c r="A197" s="1"/>
      <c r="B197" s="23"/>
      <c r="C197" s="23"/>
      <c r="D197" s="23"/>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2" customHeight="1">
      <c r="A198" s="1"/>
      <c r="B198" s="23"/>
      <c r="C198" s="23"/>
      <c r="D198" s="23"/>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2" customHeight="1">
      <c r="A199" s="1"/>
      <c r="B199" s="23"/>
      <c r="C199" s="23"/>
      <c r="D199" s="23"/>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2" customHeight="1">
      <c r="A200" s="1"/>
      <c r="B200" s="23"/>
      <c r="C200" s="23"/>
      <c r="D200" s="23"/>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2" customHeight="1">
      <c r="A201" s="1"/>
      <c r="B201" s="23"/>
      <c r="C201" s="23"/>
      <c r="D201" s="23"/>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2" customHeight="1">
      <c r="A202" s="1"/>
      <c r="B202" s="23"/>
      <c r="C202" s="23"/>
      <c r="D202" s="23"/>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2" customHeight="1">
      <c r="A203" s="1"/>
      <c r="B203" s="23"/>
      <c r="C203" s="23"/>
      <c r="D203" s="23"/>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2" customHeight="1">
      <c r="A204" s="1"/>
      <c r="B204" s="23"/>
      <c r="C204" s="23"/>
      <c r="D204" s="23"/>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2" customHeight="1">
      <c r="A205" s="1"/>
      <c r="B205" s="23"/>
      <c r="C205" s="23"/>
      <c r="D205" s="23"/>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2" customHeight="1">
      <c r="A206" s="1"/>
      <c r="B206" s="23"/>
      <c r="C206" s="23"/>
      <c r="D206" s="23"/>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2" customHeight="1">
      <c r="A207" s="1"/>
      <c r="B207" s="23"/>
      <c r="C207" s="23"/>
      <c r="D207" s="23"/>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2" customHeight="1">
      <c r="A208" s="1"/>
      <c r="B208" s="23"/>
      <c r="C208" s="23"/>
      <c r="D208" s="23"/>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2" customHeight="1">
      <c r="A209" s="1"/>
      <c r="B209" s="23"/>
      <c r="C209" s="23"/>
      <c r="D209" s="23"/>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2" customHeight="1">
      <c r="A210" s="1"/>
      <c r="B210" s="23"/>
      <c r="C210" s="23"/>
      <c r="D210" s="23"/>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2" customHeight="1">
      <c r="A211" s="1"/>
      <c r="B211" s="23"/>
      <c r="C211" s="23"/>
      <c r="D211" s="23"/>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2" customHeight="1">
      <c r="A212" s="1"/>
      <c r="B212" s="23"/>
      <c r="C212" s="23"/>
      <c r="D212" s="23"/>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2" customHeight="1">
      <c r="A213" s="1"/>
      <c r="B213" s="23"/>
      <c r="C213" s="23"/>
      <c r="D213" s="23"/>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2" customHeight="1">
      <c r="A214" s="1"/>
      <c r="B214" s="23"/>
      <c r="C214" s="23"/>
      <c r="D214" s="23"/>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2" customHeight="1">
      <c r="A215" s="1"/>
      <c r="B215" s="23"/>
      <c r="C215" s="23"/>
      <c r="D215" s="23"/>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2" customHeight="1">
      <c r="A216" s="1"/>
      <c r="B216" s="23"/>
      <c r="C216" s="23"/>
      <c r="D216" s="23"/>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2" customHeight="1">
      <c r="A217" s="1"/>
      <c r="B217" s="23"/>
      <c r="C217" s="23"/>
      <c r="D217" s="23"/>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2" customHeight="1">
      <c r="A218" s="1"/>
      <c r="B218" s="23"/>
      <c r="C218" s="23"/>
      <c r="D218" s="23"/>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2" customHeight="1">
      <c r="A219" s="1"/>
      <c r="B219" s="23"/>
      <c r="C219" s="23"/>
      <c r="D219" s="23"/>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2" customHeight="1">
      <c r="A220" s="1"/>
      <c r="B220" s="23"/>
      <c r="C220" s="23"/>
      <c r="D220" s="23"/>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2" customHeight="1">
      <c r="A221" s="1"/>
      <c r="B221" s="23"/>
      <c r="C221" s="23"/>
      <c r="D221" s="23"/>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2" customHeight="1">
      <c r="A222" s="1"/>
      <c r="B222" s="23"/>
      <c r="C222" s="23"/>
      <c r="D222" s="23"/>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2" customHeight="1">
      <c r="A223" s="1"/>
      <c r="B223" s="23"/>
      <c r="C223" s="23"/>
      <c r="D223" s="23"/>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2" customHeight="1">
      <c r="A224" s="1"/>
      <c r="B224" s="23"/>
      <c r="C224" s="23"/>
      <c r="D224" s="23"/>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2" customHeight="1">
      <c r="A225" s="1"/>
      <c r="B225" s="23"/>
      <c r="C225" s="23"/>
      <c r="D225" s="23"/>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2" customHeight="1">
      <c r="A226" s="1"/>
      <c r="B226" s="23"/>
      <c r="C226" s="23"/>
      <c r="D226" s="23"/>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2" customHeight="1">
      <c r="A227" s="1"/>
      <c r="B227" s="23"/>
      <c r="C227" s="23"/>
      <c r="D227" s="23"/>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2" customHeight="1">
      <c r="A228" s="1"/>
      <c r="B228" s="23"/>
      <c r="C228" s="23"/>
      <c r="D228" s="23"/>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2" customHeight="1">
      <c r="A229" s="1"/>
      <c r="B229" s="23"/>
      <c r="C229" s="23"/>
      <c r="D229" s="23"/>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2" customHeight="1">
      <c r="A230" s="1"/>
      <c r="B230" s="23"/>
      <c r="C230" s="23"/>
      <c r="D230" s="23"/>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2" customHeight="1">
      <c r="A231" s="1"/>
      <c r="B231" s="23"/>
      <c r="C231" s="23"/>
      <c r="D231" s="23"/>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2" customHeight="1">
      <c r="A232" s="1"/>
      <c r="B232" s="23"/>
      <c r="C232" s="23"/>
      <c r="D232" s="23"/>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2" customHeight="1">
      <c r="A233" s="1"/>
      <c r="B233" s="23"/>
      <c r="C233" s="23"/>
      <c r="D233" s="23"/>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2" customHeight="1">
      <c r="A234" s="1"/>
      <c r="B234" s="23"/>
      <c r="C234" s="23"/>
      <c r="D234" s="23"/>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2" customHeight="1">
      <c r="A235" s="1"/>
      <c r="B235" s="23"/>
      <c r="C235" s="23"/>
      <c r="D235" s="23"/>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2" customHeight="1">
      <c r="A236" s="1"/>
      <c r="B236" s="23"/>
      <c r="C236" s="23"/>
      <c r="D236" s="23"/>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2" customHeight="1">
      <c r="A237" s="1"/>
      <c r="B237" s="23"/>
      <c r="C237" s="23"/>
      <c r="D237" s="23"/>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2" customHeight="1">
      <c r="A238" s="1"/>
      <c r="B238" s="23"/>
      <c r="C238" s="23"/>
      <c r="D238" s="23"/>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2" customHeight="1">
      <c r="A239" s="1"/>
      <c r="B239" s="23"/>
      <c r="C239" s="23"/>
      <c r="D239" s="23"/>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2" customHeight="1">
      <c r="A240" s="1"/>
      <c r="B240" s="23"/>
      <c r="C240" s="23"/>
      <c r="D240" s="23"/>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2" customHeight="1">
      <c r="A241" s="1"/>
      <c r="B241" s="23"/>
      <c r="C241" s="23"/>
      <c r="D241" s="23"/>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2" customHeight="1">
      <c r="A242" s="1"/>
      <c r="B242" s="23"/>
      <c r="C242" s="23"/>
      <c r="D242" s="23"/>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2" customHeight="1">
      <c r="A243" s="1"/>
      <c r="B243" s="23"/>
      <c r="C243" s="23"/>
      <c r="D243" s="23"/>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2" customHeight="1">
      <c r="A244" s="1"/>
      <c r="B244" s="23"/>
      <c r="C244" s="23"/>
      <c r="D244" s="23"/>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2" customHeight="1">
      <c r="A245" s="1"/>
      <c r="B245" s="23"/>
      <c r="C245" s="23"/>
      <c r="D245" s="23"/>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2" customHeight="1">
      <c r="A246" s="1"/>
      <c r="B246" s="23"/>
      <c r="C246" s="23"/>
      <c r="D246" s="23"/>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2" customHeight="1">
      <c r="A247" s="1"/>
      <c r="B247" s="23"/>
      <c r="C247" s="23"/>
      <c r="D247" s="23"/>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2" customHeight="1">
      <c r="A248" s="1"/>
      <c r="B248" s="23"/>
      <c r="C248" s="23"/>
      <c r="D248" s="23"/>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2" customHeight="1">
      <c r="A249" s="1"/>
      <c r="B249" s="23"/>
      <c r="C249" s="23"/>
      <c r="D249" s="23"/>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2" customHeight="1">
      <c r="A250" s="1"/>
      <c r="B250" s="23"/>
      <c r="C250" s="23"/>
      <c r="D250" s="23"/>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2" customHeight="1">
      <c r="A251" s="1"/>
      <c r="B251" s="23"/>
      <c r="C251" s="23"/>
      <c r="D251" s="23"/>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2" customHeight="1">
      <c r="A252" s="1"/>
      <c r="B252" s="23"/>
      <c r="C252" s="23"/>
      <c r="D252" s="23"/>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2" customHeight="1">
      <c r="A253" s="1"/>
      <c r="B253" s="23"/>
      <c r="C253" s="23"/>
      <c r="D253" s="23"/>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2" customHeight="1">
      <c r="A254" s="1"/>
      <c r="B254" s="23"/>
      <c r="C254" s="23"/>
      <c r="D254" s="23"/>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2" customHeight="1">
      <c r="A255" s="1"/>
      <c r="B255" s="23"/>
      <c r="C255" s="23"/>
      <c r="D255" s="23"/>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2" customHeight="1">
      <c r="A256" s="1"/>
      <c r="B256" s="23"/>
      <c r="C256" s="23"/>
      <c r="D256" s="23"/>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2" customHeight="1">
      <c r="A257" s="1"/>
      <c r="B257" s="23"/>
      <c r="C257" s="23"/>
      <c r="D257" s="23"/>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2" customHeight="1">
      <c r="A258" s="1"/>
      <c r="B258" s="23"/>
      <c r="C258" s="23"/>
      <c r="D258" s="23"/>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2" customHeight="1">
      <c r="A259" s="1"/>
      <c r="B259" s="23"/>
      <c r="C259" s="23"/>
      <c r="D259" s="23"/>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2" customHeight="1">
      <c r="A260" s="1"/>
      <c r="B260" s="23"/>
      <c r="C260" s="23"/>
      <c r="D260" s="23"/>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2" customHeight="1">
      <c r="A261" s="1"/>
      <c r="B261" s="23"/>
      <c r="C261" s="23"/>
      <c r="D261" s="23"/>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2" customHeight="1">
      <c r="A262" s="1"/>
      <c r="B262" s="23"/>
      <c r="C262" s="23"/>
      <c r="D262" s="23"/>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2" customHeight="1">
      <c r="A263" s="1"/>
      <c r="B263" s="23"/>
      <c r="C263" s="23"/>
      <c r="D263" s="23"/>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2" customHeight="1">
      <c r="A264" s="1"/>
      <c r="B264" s="23"/>
      <c r="C264" s="23"/>
      <c r="D264" s="23"/>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2" customHeight="1">
      <c r="A265" s="1"/>
      <c r="B265" s="23"/>
      <c r="C265" s="23"/>
      <c r="D265" s="23"/>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2" customHeight="1">
      <c r="A266" s="1"/>
      <c r="B266" s="23"/>
      <c r="C266" s="23"/>
      <c r="D266" s="23"/>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2" customHeight="1">
      <c r="A267" s="1"/>
      <c r="B267" s="23"/>
      <c r="C267" s="23"/>
      <c r="D267" s="23"/>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2" customHeight="1">
      <c r="A268" s="1"/>
      <c r="B268" s="23"/>
      <c r="C268" s="23"/>
      <c r="D268" s="23"/>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2" customHeight="1">
      <c r="A269" s="1"/>
      <c r="B269" s="23"/>
      <c r="C269" s="23"/>
      <c r="D269" s="23"/>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2" customHeight="1">
      <c r="A270" s="1"/>
      <c r="B270" s="23"/>
      <c r="C270" s="23"/>
      <c r="D270" s="23"/>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2" customHeight="1">
      <c r="A271" s="1"/>
      <c r="B271" s="23"/>
      <c r="C271" s="23"/>
      <c r="D271" s="23"/>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2" customHeight="1">
      <c r="A272" s="1"/>
      <c r="B272" s="23"/>
      <c r="C272" s="23"/>
      <c r="D272" s="23"/>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2" customHeight="1">
      <c r="A273" s="1"/>
      <c r="B273" s="23"/>
      <c r="C273" s="23"/>
      <c r="D273" s="23"/>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2" customHeight="1">
      <c r="A274" s="1"/>
      <c r="B274" s="23"/>
      <c r="C274" s="23"/>
      <c r="D274" s="23"/>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2" customHeight="1">
      <c r="A275" s="1"/>
      <c r="B275" s="23"/>
      <c r="C275" s="23"/>
      <c r="D275" s="23"/>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2" customHeight="1">
      <c r="A276" s="1"/>
      <c r="B276" s="23"/>
      <c r="C276" s="23"/>
      <c r="D276" s="23"/>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2" customHeight="1">
      <c r="A277" s="1"/>
      <c r="B277" s="23"/>
      <c r="C277" s="23"/>
      <c r="D277" s="23"/>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2" customHeight="1">
      <c r="A278" s="1"/>
      <c r="B278" s="23"/>
      <c r="C278" s="23"/>
      <c r="D278" s="23"/>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2" customHeight="1">
      <c r="A279" s="1"/>
      <c r="B279" s="23"/>
      <c r="C279" s="23"/>
      <c r="D279" s="23"/>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2" customHeight="1">
      <c r="A280" s="1"/>
      <c r="B280" s="23"/>
      <c r="C280" s="23"/>
      <c r="D280" s="23"/>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2" customHeight="1">
      <c r="A281" s="1"/>
      <c r="B281" s="23"/>
      <c r="C281" s="23"/>
      <c r="D281" s="23"/>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2" customHeight="1">
      <c r="A282" s="1"/>
      <c r="B282" s="23"/>
      <c r="C282" s="23"/>
      <c r="D282" s="23"/>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2" customHeight="1">
      <c r="A283" s="1"/>
      <c r="B283" s="23"/>
      <c r="C283" s="23"/>
      <c r="D283" s="23"/>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2" customHeight="1">
      <c r="A284" s="1"/>
      <c r="B284" s="23"/>
      <c r="C284" s="23"/>
      <c r="D284" s="23"/>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2" customHeight="1">
      <c r="A285" s="1"/>
      <c r="B285" s="23"/>
      <c r="C285" s="23"/>
      <c r="D285" s="23"/>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2" customHeight="1">
      <c r="A286" s="1"/>
      <c r="B286" s="23"/>
      <c r="C286" s="23"/>
      <c r="D286" s="23"/>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2" customHeight="1">
      <c r="A287" s="1"/>
      <c r="B287" s="23"/>
      <c r="C287" s="23"/>
      <c r="D287" s="23"/>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2" customHeight="1">
      <c r="A288" s="1"/>
      <c r="B288" s="23"/>
      <c r="C288" s="23"/>
      <c r="D288" s="23"/>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2" customHeight="1">
      <c r="A289" s="1"/>
      <c r="B289" s="23"/>
      <c r="C289" s="23"/>
      <c r="D289" s="23"/>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2" customHeight="1">
      <c r="A290" s="1"/>
      <c r="B290" s="23"/>
      <c r="C290" s="23"/>
      <c r="D290" s="23"/>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2" customHeight="1">
      <c r="A291" s="1"/>
      <c r="B291" s="23"/>
      <c r="C291" s="23"/>
      <c r="D291" s="23"/>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2" customHeight="1">
      <c r="A292" s="1"/>
      <c r="B292" s="23"/>
      <c r="C292" s="23"/>
      <c r="D292" s="23"/>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2" customHeight="1">
      <c r="A293" s="1"/>
      <c r="B293" s="23"/>
      <c r="C293" s="23"/>
      <c r="D293" s="23"/>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2" customHeight="1">
      <c r="A294" s="1"/>
      <c r="B294" s="23"/>
      <c r="C294" s="23"/>
      <c r="D294" s="23"/>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2" customHeight="1">
      <c r="A295" s="1"/>
      <c r="B295" s="23"/>
      <c r="C295" s="23"/>
      <c r="D295" s="23"/>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2" customHeight="1">
      <c r="A296" s="1"/>
      <c r="B296" s="23"/>
      <c r="C296" s="23"/>
      <c r="D296" s="23"/>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2" customHeight="1">
      <c r="A297" s="1"/>
      <c r="B297" s="23"/>
      <c r="C297" s="23"/>
      <c r="D297" s="23"/>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2" customHeight="1">
      <c r="A298" s="1"/>
      <c r="B298" s="23"/>
      <c r="C298" s="23"/>
      <c r="D298" s="23"/>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2" customHeight="1">
      <c r="A299" s="1"/>
      <c r="B299" s="23"/>
      <c r="C299" s="23"/>
      <c r="D299" s="23"/>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2" customHeight="1">
      <c r="A300" s="1"/>
      <c r="B300" s="23"/>
      <c r="C300" s="23"/>
      <c r="D300" s="23"/>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2" customHeight="1">
      <c r="A301" s="1"/>
      <c r="B301" s="23"/>
      <c r="C301" s="23"/>
      <c r="D301" s="23"/>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2" customHeight="1">
      <c r="A302" s="1"/>
      <c r="B302" s="23"/>
      <c r="C302" s="23"/>
      <c r="D302" s="23"/>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2" customHeight="1">
      <c r="A303" s="1"/>
      <c r="B303" s="23"/>
      <c r="C303" s="23"/>
      <c r="D303" s="23"/>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2" customHeight="1">
      <c r="A304" s="1"/>
      <c r="B304" s="23"/>
      <c r="C304" s="23"/>
      <c r="D304" s="23"/>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2" customHeight="1">
      <c r="A305" s="1"/>
      <c r="B305" s="23"/>
      <c r="C305" s="23"/>
      <c r="D305" s="23"/>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2" customHeight="1">
      <c r="A306" s="1"/>
      <c r="B306" s="23"/>
      <c r="C306" s="23"/>
      <c r="D306" s="23"/>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2" customHeight="1">
      <c r="A307" s="1"/>
      <c r="B307" s="23"/>
      <c r="C307" s="23"/>
      <c r="D307" s="23"/>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2" customHeight="1">
      <c r="A308" s="1"/>
      <c r="B308" s="23"/>
      <c r="C308" s="23"/>
      <c r="D308" s="23"/>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2" customHeight="1">
      <c r="A309" s="1"/>
      <c r="B309" s="23"/>
      <c r="C309" s="23"/>
      <c r="D309" s="23"/>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2" customHeight="1">
      <c r="A310" s="1"/>
      <c r="B310" s="23"/>
      <c r="C310" s="23"/>
      <c r="D310" s="23"/>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2" customHeight="1">
      <c r="A311" s="1"/>
      <c r="B311" s="23"/>
      <c r="C311" s="23"/>
      <c r="D311" s="23"/>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2" customHeight="1">
      <c r="A312" s="1"/>
      <c r="B312" s="23"/>
      <c r="C312" s="23"/>
      <c r="D312" s="23"/>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2" customHeight="1">
      <c r="A313" s="1"/>
      <c r="B313" s="23"/>
      <c r="C313" s="23"/>
      <c r="D313" s="23"/>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2" customHeight="1">
      <c r="A314" s="1"/>
      <c r="B314" s="23"/>
      <c r="C314" s="23"/>
      <c r="D314" s="23"/>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2"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2"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2"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2"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2"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2"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2"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2"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2"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2"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2"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2"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2"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2"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2"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2"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2"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2"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2"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2"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2"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2"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2"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2"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2"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2"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2"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2"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2"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2"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2"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2"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2"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2"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2"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2"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2"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2"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2"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2"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2"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2"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2"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2"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2"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2"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2"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2"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2"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2"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2"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2"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2"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2"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2"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2"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2"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2"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2"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2"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2"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2"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2"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2"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2"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2"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2"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2"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2"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2"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2"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2"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2"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2"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2"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2"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2"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2"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2"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2"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2"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2"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2"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2"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2"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2"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2"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2"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2"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2"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2"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2"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2"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2"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2"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2"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2"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2"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2"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2"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2"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2"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2"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2"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2"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2"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2"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2"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2"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2"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2"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2"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2"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2"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2"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2"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2"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2"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2"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2"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2"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2"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2"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2"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2"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2"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2"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2"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2"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2"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2"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2"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2"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2"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2"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2"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2"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2"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2"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2"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2"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2"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2"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2"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2"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2"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2"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2"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2"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2"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2"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2"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2"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2"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2"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2"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2"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2"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2"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2"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2"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2"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2"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2"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2"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2"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2"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2"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2"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2"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2"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2"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2"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2"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2"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2"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2"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2"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2"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2"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2"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2"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2"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2"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2"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2"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2"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2"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2"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2"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2"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2"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2"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2"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2"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2"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2"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2"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2"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2"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2"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2"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2"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2"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2"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2"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2"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2"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2"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2"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2"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2"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2"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2"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2"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2"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2"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2"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2"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2"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2"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2"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2"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2"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2"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2"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2"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2"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2"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2"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2"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2"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2"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2"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2"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2"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2"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2"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2"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2"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2"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2"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2"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2"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2"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2"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2"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2"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2"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2"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2"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2"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2"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2"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2"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2"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2"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2"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2"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2"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2"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2"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2"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2"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2"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2"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2"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2"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2"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2"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2"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2"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2"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2"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2"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2"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2"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2"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2"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2"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2"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2"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2"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2"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2"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2"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2"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2"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2"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2"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2"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2"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2"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2"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2"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2"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2"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2"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2"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2"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2"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2"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2"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2"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2"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2"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2"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2"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2"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2"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2"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2"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2"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2"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2"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2"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2"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2"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2"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2"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2"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2"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2"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2"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2"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2"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2"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2"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2"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2"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2"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2"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2"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2"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2"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2"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2"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2"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2"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2"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2"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2"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2"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2"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2"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2"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2"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2"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2"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2"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2"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2"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2"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2"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2"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2"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2"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2"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2"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2"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2"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2"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2"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2"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2"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2"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2"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2"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2"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2"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2"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2"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2"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2"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2"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2"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2"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2"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2"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2"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2"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2"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2"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2"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2"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2"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2"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2"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2"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2"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2"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2"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2"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2"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2"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2"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2"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2"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2"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2"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2"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2"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2"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2"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2"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2"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2"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2"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2"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2"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2"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2"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2"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2"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2"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2"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2"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2"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2"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2"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2"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2"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2"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2"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2"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2"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2"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2"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2"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2"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2"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2"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2"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2"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2"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2"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2"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2"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2"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2"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2"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2"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2"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2"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2"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2"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2"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2"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2"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2"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2"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2"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2"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2"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2"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2"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2"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2"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2"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2"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2"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2"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2"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2"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2"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2"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2"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2"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2"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2"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2"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2"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2"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2"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2"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2"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2"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2"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2"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2"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2"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2"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2"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2"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2"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2"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2"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2"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2"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2"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2"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2"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2"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2"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2"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2"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2"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2"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2"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2"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2"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2"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2"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2"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2"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2"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2"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2"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2"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2"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2"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2"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2"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2"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2"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2"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2"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2"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2"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2"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2"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2"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2"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2"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2"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2"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2"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2"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2"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2"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2"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2"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2"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2"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2"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2"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2"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2"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2"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2"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2"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2"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2"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2"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2"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2"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2"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2"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2"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2"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2"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2"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2"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2"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2"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2"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2"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2"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2"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2"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2"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2"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2"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2"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2"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2"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2"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2"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2"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2"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2"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2"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2"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2"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2"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2"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2"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2"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2"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2"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2"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2"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2"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2"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2"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2"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2"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2"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2"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2"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2"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2"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2"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2"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2"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2"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2"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2"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2"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2"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2"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2"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2"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2"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2"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2"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2"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2"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2"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2"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2"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2"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2"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2"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2"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2"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2"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2"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2"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2"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2"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2"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2"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2"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2"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2"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2"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2"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2"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2"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2"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2"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2"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2"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2"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2"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2"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2"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2"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2"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2"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2"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2"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2"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2"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2"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2"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2"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2"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2"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2"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2"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2"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2"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2"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2"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2"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2"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2"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2"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2"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2"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2"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2"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2"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2"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2"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2"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2"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2"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2"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2"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2"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2"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2"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2"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2"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2"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2"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2"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2"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2"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2"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2"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2"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2"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row r="1001" spans="1:28" ht="12"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row>
  </sheetData>
  <sheetProtection algorithmName="SHA-512" hashValue="YmYGwPmkm6ID+noVvQyfY9tPzMTgM2WjQtxDjUAdO3eMOZiPQOEE2KiAH57wrRmtJO5+f724yuSAwgDAzIuK5A==" saltValue="8H8I8ndPeH0gc34OrvB7wg==" spinCount="100000" sheet="1" objects="1" scenarios="1"/>
  <mergeCells count="265">
    <mergeCell ref="P60:Q60"/>
    <mergeCell ref="B58:C58"/>
    <mergeCell ref="E58:F58"/>
    <mergeCell ref="G58:H58"/>
    <mergeCell ref="I58:J58"/>
    <mergeCell ref="P58:Q58"/>
    <mergeCell ref="I59:J59"/>
    <mergeCell ref="P59:Q59"/>
    <mergeCell ref="B66:C66"/>
    <mergeCell ref="G66:H66"/>
    <mergeCell ref="I66:J66"/>
    <mergeCell ref="M66:O66"/>
    <mergeCell ref="P66:Q66"/>
    <mergeCell ref="G61:H61"/>
    <mergeCell ref="I61:J61"/>
    <mergeCell ref="M61:O61"/>
    <mergeCell ref="P61:Q61"/>
    <mergeCell ref="G62:H62"/>
    <mergeCell ref="I62:J62"/>
    <mergeCell ref="M62:O62"/>
    <mergeCell ref="P62:Q62"/>
    <mergeCell ref="B61:C61"/>
    <mergeCell ref="B62:C62"/>
    <mergeCell ref="E61:F61"/>
    <mergeCell ref="E62:F62"/>
    <mergeCell ref="G69:H69"/>
    <mergeCell ref="I69:J69"/>
    <mergeCell ref="M69:O69"/>
    <mergeCell ref="P69:Q69"/>
    <mergeCell ref="P70:Q70"/>
    <mergeCell ref="E66:F66"/>
    <mergeCell ref="E67:F67"/>
    <mergeCell ref="E68:F68"/>
    <mergeCell ref="G68:H68"/>
    <mergeCell ref="I68:J68"/>
    <mergeCell ref="M68:O68"/>
    <mergeCell ref="P68:Q68"/>
    <mergeCell ref="G67:H67"/>
    <mergeCell ref="I67:J67"/>
    <mergeCell ref="M67:O67"/>
    <mergeCell ref="P67:Q67"/>
    <mergeCell ref="P63:Q63"/>
    <mergeCell ref="P64:Q64"/>
    <mergeCell ref="E65:F65"/>
    <mergeCell ref="G65:H65"/>
    <mergeCell ref="I65:J65"/>
    <mergeCell ref="M65:O65"/>
    <mergeCell ref="P65:Q65"/>
    <mergeCell ref="H80:I80"/>
    <mergeCell ref="A81:B81"/>
    <mergeCell ref="H81:I81"/>
    <mergeCell ref="F84:G84"/>
    <mergeCell ref="H84:I84"/>
    <mergeCell ref="A82:B82"/>
    <mergeCell ref="F82:G82"/>
    <mergeCell ref="H82:I82"/>
    <mergeCell ref="A83:B83"/>
    <mergeCell ref="H83:I83"/>
    <mergeCell ref="A84:B84"/>
    <mergeCell ref="H85:I85"/>
    <mergeCell ref="F83:G83"/>
    <mergeCell ref="F85:G85"/>
    <mergeCell ref="F86:G86"/>
    <mergeCell ref="H86:I86"/>
    <mergeCell ref="F87:G87"/>
    <mergeCell ref="H87:I87"/>
    <mergeCell ref="F88:G88"/>
    <mergeCell ref="O95:P95"/>
    <mergeCell ref="O96:P96"/>
    <mergeCell ref="O97:P97"/>
    <mergeCell ref="O98:P98"/>
    <mergeCell ref="O99:P99"/>
    <mergeCell ref="O100:P100"/>
    <mergeCell ref="O101:P101"/>
    <mergeCell ref="O102:P102"/>
    <mergeCell ref="F95:H95"/>
    <mergeCell ref="I95:J95"/>
    <mergeCell ref="K95:L95"/>
    <mergeCell ref="M95:N95"/>
    <mergeCell ref="G96:H96"/>
    <mergeCell ref="I96:J96"/>
    <mergeCell ref="K96:L96"/>
    <mergeCell ref="I99:J99"/>
    <mergeCell ref="K99:L99"/>
    <mergeCell ref="G97:H97"/>
    <mergeCell ref="I97:J97"/>
    <mergeCell ref="K97:L97"/>
    <mergeCell ref="G98:H98"/>
    <mergeCell ref="I98:J98"/>
    <mergeCell ref="K98:L98"/>
    <mergeCell ref="G99:H99"/>
    <mergeCell ref="C101:D101"/>
    <mergeCell ref="D106:E106"/>
    <mergeCell ref="D107:E107"/>
    <mergeCell ref="E109:Q109"/>
    <mergeCell ref="E110:Q110"/>
    <mergeCell ref="E112:F112"/>
    <mergeCell ref="G100:H100"/>
    <mergeCell ref="I100:J100"/>
    <mergeCell ref="K100:L100"/>
    <mergeCell ref="A101:B101"/>
    <mergeCell ref="G101:H101"/>
    <mergeCell ref="I101:J101"/>
    <mergeCell ref="K101:L101"/>
    <mergeCell ref="D10:E10"/>
    <mergeCell ref="L10:Q10"/>
    <mergeCell ref="S10:U10"/>
    <mergeCell ref="D11:E11"/>
    <mergeCell ref="L11:Q11"/>
    <mergeCell ref="D12:E12"/>
    <mergeCell ref="L13:Q14"/>
    <mergeCell ref="I14:J14"/>
    <mergeCell ref="S14:U14"/>
    <mergeCell ref="I15:J15"/>
    <mergeCell ref="L16:Q17"/>
    <mergeCell ref="E18:H18"/>
    <mergeCell ref="J18:K18"/>
    <mergeCell ref="P18:Q18"/>
    <mergeCell ref="S18:U18"/>
    <mergeCell ref="A24:C24"/>
    <mergeCell ref="D24:F24"/>
    <mergeCell ref="G24:H24"/>
    <mergeCell ref="N24:O24"/>
    <mergeCell ref="E25:F25"/>
    <mergeCell ref="I24:J24"/>
    <mergeCell ref="K24:L24"/>
    <mergeCell ref="B25:C25"/>
    <mergeCell ref="G25:H25"/>
    <mergeCell ref="I25:J25"/>
    <mergeCell ref="S1:U1"/>
    <mergeCell ref="S2:U2"/>
    <mergeCell ref="D6:H6"/>
    <mergeCell ref="L6:Q6"/>
    <mergeCell ref="S6:U6"/>
    <mergeCell ref="D7:E7"/>
    <mergeCell ref="D9:E9"/>
    <mergeCell ref="L7:Q7"/>
    <mergeCell ref="L9:Q9"/>
    <mergeCell ref="N25:O25"/>
    <mergeCell ref="D8:E8"/>
    <mergeCell ref="L8:Q8"/>
    <mergeCell ref="B26:C26"/>
    <mergeCell ref="N26:O26"/>
    <mergeCell ref="G26:H26"/>
    <mergeCell ref="I26:J26"/>
    <mergeCell ref="G27:H27"/>
    <mergeCell ref="I27:J27"/>
    <mergeCell ref="N27:O27"/>
    <mergeCell ref="N28:O28"/>
    <mergeCell ref="E26:F26"/>
    <mergeCell ref="B27:C27"/>
    <mergeCell ref="E27:F27"/>
    <mergeCell ref="B28:C28"/>
    <mergeCell ref="E28:F28"/>
    <mergeCell ref="G28:H28"/>
    <mergeCell ref="I28:J28"/>
    <mergeCell ref="G29:H29"/>
    <mergeCell ref="I29:J29"/>
    <mergeCell ref="S29:X30"/>
    <mergeCell ref="B30:C30"/>
    <mergeCell ref="G30:H30"/>
    <mergeCell ref="I30:J30"/>
    <mergeCell ref="N30:O30"/>
    <mergeCell ref="B31:C31"/>
    <mergeCell ref="N31:O31"/>
    <mergeCell ref="S32:X34"/>
    <mergeCell ref="G33:H33"/>
    <mergeCell ref="A39:D39"/>
    <mergeCell ref="A40:D40"/>
    <mergeCell ref="E40:G40"/>
    <mergeCell ref="H40:I40"/>
    <mergeCell ref="E30:F30"/>
    <mergeCell ref="E31:F31"/>
    <mergeCell ref="B32:C32"/>
    <mergeCell ref="E32:F32"/>
    <mergeCell ref="A38:D38"/>
    <mergeCell ref="E38:G38"/>
    <mergeCell ref="E39:G39"/>
    <mergeCell ref="I33:J33"/>
    <mergeCell ref="J34:L34"/>
    <mergeCell ref="L35:N35"/>
    <mergeCell ref="H38:J38"/>
    <mergeCell ref="H39:I39"/>
    <mergeCell ref="G31:H31"/>
    <mergeCell ref="I31:J31"/>
    <mergeCell ref="G32:H32"/>
    <mergeCell ref="I32:J32"/>
    <mergeCell ref="N32:O32"/>
    <mergeCell ref="A45:D45"/>
    <mergeCell ref="E45:G45"/>
    <mergeCell ref="H45:I45"/>
    <mergeCell ref="A46:D46"/>
    <mergeCell ref="E46:G46"/>
    <mergeCell ref="A47:D47"/>
    <mergeCell ref="E47:G47"/>
    <mergeCell ref="E54:F54"/>
    <mergeCell ref="G54:H54"/>
    <mergeCell ref="I54:J54"/>
    <mergeCell ref="A53:C53"/>
    <mergeCell ref="D53:F53"/>
    <mergeCell ref="G53:H53"/>
    <mergeCell ref="I53:J53"/>
    <mergeCell ref="K53:L53"/>
    <mergeCell ref="P53:Q53"/>
    <mergeCell ref="P54:Q54"/>
    <mergeCell ref="B54:C54"/>
    <mergeCell ref="B55:C55"/>
    <mergeCell ref="E55:F55"/>
    <mergeCell ref="G55:H55"/>
    <mergeCell ref="I55:J55"/>
    <mergeCell ref="P56:Q56"/>
    <mergeCell ref="E56:F56"/>
    <mergeCell ref="G57:H57"/>
    <mergeCell ref="I57:J57"/>
    <mergeCell ref="M57:O57"/>
    <mergeCell ref="P57:Q57"/>
    <mergeCell ref="M54:O54"/>
    <mergeCell ref="M55:O55"/>
    <mergeCell ref="P55:Q55"/>
    <mergeCell ref="B56:C56"/>
    <mergeCell ref="B57:C57"/>
    <mergeCell ref="E59:F59"/>
    <mergeCell ref="G59:H59"/>
    <mergeCell ref="M63:O63"/>
    <mergeCell ref="M64:O64"/>
    <mergeCell ref="B63:C63"/>
    <mergeCell ref="E63:F63"/>
    <mergeCell ref="G63:H63"/>
    <mergeCell ref="I63:J63"/>
    <mergeCell ref="G56:H56"/>
    <mergeCell ref="I56:J56"/>
    <mergeCell ref="M56:O56"/>
    <mergeCell ref="B59:C59"/>
    <mergeCell ref="B60:C60"/>
    <mergeCell ref="E60:F60"/>
    <mergeCell ref="G60:H60"/>
    <mergeCell ref="I60:J60"/>
    <mergeCell ref="M58:O58"/>
    <mergeCell ref="M59:O59"/>
    <mergeCell ref="M60:O60"/>
    <mergeCell ref="B64:C64"/>
    <mergeCell ref="I64:J64"/>
    <mergeCell ref="E64:F64"/>
    <mergeCell ref="G64:H64"/>
    <mergeCell ref="E57:F57"/>
    <mergeCell ref="B65:C65"/>
    <mergeCell ref="B67:C67"/>
    <mergeCell ref="A98:B98"/>
    <mergeCell ref="C98:D98"/>
    <mergeCell ref="A99:B99"/>
    <mergeCell ref="C99:D99"/>
    <mergeCell ref="A100:B100"/>
    <mergeCell ref="C100:D100"/>
    <mergeCell ref="A85:B85"/>
    <mergeCell ref="A86:B86"/>
    <mergeCell ref="A87:B87"/>
    <mergeCell ref="A95:D95"/>
    <mergeCell ref="A96:D96"/>
    <mergeCell ref="A97:B97"/>
    <mergeCell ref="C97:D97"/>
    <mergeCell ref="A80:B80"/>
    <mergeCell ref="C80:E80"/>
    <mergeCell ref="B68:C68"/>
    <mergeCell ref="B69:C69"/>
    <mergeCell ref="E69:F69"/>
  </mergeCells>
  <dataValidations count="5">
    <dataValidation type="list" allowBlank="1" showInputMessage="1" showErrorMessage="1" prompt="X or nothing" sqref="H106" xr:uid="{00000000-0002-0000-0A00-000000000000}">
      <formula1>"X"</formula1>
    </dataValidation>
    <dataValidation type="list" allowBlank="1" showErrorMessage="1" sqref="D14" xr:uid="{00000000-0002-0000-0A00-000001000000}">
      <formula1>"English,Deutsch"</formula1>
    </dataValidation>
    <dataValidation type="list" allowBlank="1" showInputMessage="1" showErrorMessage="1" prompt="Y or N" sqref="N12" xr:uid="{00000000-0002-0000-0A00-000002000000}">
      <formula1>"Y,N"</formula1>
    </dataValidation>
    <dataValidation type="list" allowBlank="1" showErrorMessage="1" sqref="M3" xr:uid="{00000000-0002-0000-0A00-000003000000}">
      <formula1>"III,IV"</formula1>
    </dataValidation>
    <dataValidation type="list" allowBlank="1" showInputMessage="1" showErrorMessage="1" prompt="&lt;=4 , 6 , 8,10  or 12" sqref="G78" xr:uid="{00000000-0002-0000-0A00-000004000000}">
      <formula1>"4,6,8,10,12"</formula1>
    </dataValidation>
  </dataValidations>
  <pageMargins left="0.70866141732283472" right="0.70866141732283472" top="0.78740157480314965" bottom="0.78740157480314965" header="0" footer="0"/>
  <pageSetup paperSize="9" scale="81" orientation="portrait" r:id="rId1"/>
  <headerFooter>
    <oddFooter>&amp;L&amp;F&amp;CPage &amp;P / &amp;R&amp;D</oddFooter>
  </headerFooter>
  <rowBreaks count="1" manualBreakCount="1">
    <brk id="71" max="24"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W1000"/>
  <sheetViews>
    <sheetView view="pageBreakPreview" zoomScale="90" zoomScaleNormal="100" zoomScaleSheetLayoutView="90" workbookViewId="0">
      <selection activeCell="M20" sqref="M20"/>
    </sheetView>
  </sheetViews>
  <sheetFormatPr defaultColWidth="12.5703125" defaultRowHeight="15" customHeight="1"/>
  <cols>
    <col min="1" max="1" width="5.28515625" customWidth="1"/>
    <col min="2" max="2" width="6.28515625" customWidth="1"/>
    <col min="3" max="3" width="6" customWidth="1"/>
    <col min="4" max="4" width="5.140625" customWidth="1"/>
    <col min="5" max="5" width="8.85546875" customWidth="1"/>
    <col min="6" max="6" width="5.7109375" customWidth="1"/>
    <col min="7" max="7" width="6.28515625" customWidth="1"/>
    <col min="8" max="8" width="6.5703125" customWidth="1"/>
    <col min="9" max="9" width="5.140625" customWidth="1"/>
    <col min="10" max="10" width="7.140625" customWidth="1"/>
    <col min="11" max="11" width="6.5703125" customWidth="1"/>
    <col min="12" max="12" width="5.7109375" customWidth="1"/>
    <col min="13" max="14" width="3.85546875" customWidth="1"/>
    <col min="15" max="15" width="2.7109375" customWidth="1"/>
    <col min="16" max="16" width="2.5703125" customWidth="1"/>
    <col min="17" max="17" width="3.42578125" customWidth="1"/>
    <col min="18" max="27" width="9.140625" hidden="1" customWidth="1"/>
    <col min="28" max="28" width="11.42578125" hidden="1" customWidth="1"/>
    <col min="29" max="29" width="9.140625" hidden="1" customWidth="1"/>
    <col min="30" max="49" width="9.140625" customWidth="1"/>
  </cols>
  <sheetData>
    <row r="1" spans="1:49" ht="23.1" customHeight="1">
      <c r="A1" s="206"/>
      <c r="B1" s="206"/>
      <c r="C1" s="206"/>
      <c r="D1" s="206"/>
      <c r="E1" s="206"/>
      <c r="F1" s="206"/>
      <c r="G1" s="1"/>
      <c r="H1" s="1"/>
      <c r="I1" s="1"/>
      <c r="J1" s="1"/>
      <c r="K1" s="1"/>
      <c r="L1" s="1"/>
      <c r="M1" s="1"/>
      <c r="N1" s="1"/>
      <c r="O1" s="1"/>
      <c r="P1" s="1"/>
      <c r="Q1" s="2" t="str">
        <f>IF($D$14="English","Test Report - Dual Range &gt; 1 t","Test Report - Zweibereich &gt; 1 t")</f>
        <v>Test Report - Dual Range &gt; 1 t</v>
      </c>
      <c r="R1" s="1" t="s">
        <v>0</v>
      </c>
      <c r="S1" s="224" t="s">
        <v>1</v>
      </c>
      <c r="T1" s="225"/>
      <c r="U1" s="226"/>
      <c r="V1" s="1"/>
      <c r="W1" s="1"/>
      <c r="X1" s="1"/>
      <c r="Y1" s="1"/>
      <c r="Z1" s="1"/>
      <c r="AA1" s="1"/>
      <c r="AB1" s="1"/>
      <c r="AC1" s="1"/>
      <c r="AD1" s="1"/>
      <c r="AE1" s="1"/>
      <c r="AF1" s="1"/>
      <c r="AG1" s="1"/>
      <c r="AH1" s="1"/>
      <c r="AI1" s="1"/>
      <c r="AJ1" s="1"/>
      <c r="AK1" s="1"/>
      <c r="AL1" s="1"/>
      <c r="AM1" s="1"/>
      <c r="AN1" s="1"/>
      <c r="AO1" s="1"/>
      <c r="AP1" s="1"/>
      <c r="AQ1" s="1"/>
      <c r="AR1" s="1"/>
      <c r="AS1" s="1"/>
      <c r="AT1" s="1"/>
      <c r="AU1" s="1"/>
      <c r="AV1" s="1"/>
      <c r="AW1" s="1"/>
    </row>
    <row r="2" spans="1:49" ht="12" customHeight="1">
      <c r="A2" s="206"/>
      <c r="B2" s="206"/>
      <c r="C2" s="206"/>
      <c r="D2" s="206"/>
      <c r="E2" s="206"/>
      <c r="F2" s="206"/>
      <c r="G2" s="1"/>
      <c r="H2" s="1"/>
      <c r="I2" s="1"/>
      <c r="J2" s="1"/>
      <c r="K2" s="1"/>
      <c r="L2" s="1"/>
      <c r="M2" s="1"/>
      <c r="N2" s="1"/>
      <c r="O2" s="1"/>
      <c r="P2" s="1"/>
      <c r="Q2" s="4"/>
      <c r="R2" s="1" t="s">
        <v>2</v>
      </c>
      <c r="S2" s="224" t="s">
        <v>3</v>
      </c>
      <c r="T2" s="225"/>
      <c r="U2" s="226"/>
      <c r="V2" s="1"/>
      <c r="W2" s="1"/>
      <c r="X2" s="1"/>
      <c r="Y2" s="1"/>
      <c r="Z2" s="1"/>
      <c r="AA2" s="1"/>
      <c r="AB2" s="1"/>
      <c r="AC2" s="1"/>
      <c r="AD2" s="1"/>
      <c r="AE2" s="1"/>
      <c r="AF2" s="1"/>
      <c r="AG2" s="1"/>
      <c r="AH2" s="1"/>
      <c r="AI2" s="1"/>
      <c r="AJ2" s="1"/>
      <c r="AK2" s="1"/>
      <c r="AL2" s="1"/>
      <c r="AM2" s="1"/>
      <c r="AN2" s="1"/>
      <c r="AO2" s="1"/>
      <c r="AP2" s="1"/>
      <c r="AQ2" s="1"/>
      <c r="AR2" s="1"/>
      <c r="AS2" s="1"/>
      <c r="AT2" s="1"/>
      <c r="AU2" s="1"/>
      <c r="AV2" s="1"/>
      <c r="AW2" s="1"/>
    </row>
    <row r="3" spans="1:49" ht="12" customHeight="1">
      <c r="A3" s="207"/>
      <c r="B3" s="207"/>
      <c r="C3" s="207"/>
      <c r="D3" s="207"/>
      <c r="E3" s="207"/>
      <c r="F3" s="207"/>
      <c r="G3" s="1"/>
      <c r="H3" s="1"/>
      <c r="I3" s="1"/>
      <c r="J3" s="1" t="str">
        <f>IF($D$14="English","Accuracy Class","Genauigkeitsklasse")</f>
        <v>Accuracy Class</v>
      </c>
      <c r="K3" s="1"/>
      <c r="L3" s="1"/>
      <c r="M3" s="1" t="s">
        <v>4</v>
      </c>
      <c r="N3" s="1"/>
      <c r="O3" s="4"/>
      <c r="P3" s="5"/>
      <c r="Q3" s="4"/>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row>
    <row r="4" spans="1:49" ht="12" customHeight="1">
      <c r="A4" s="209"/>
      <c r="B4" s="209"/>
      <c r="C4" s="209"/>
      <c r="D4" s="208"/>
      <c r="E4" s="208"/>
      <c r="F4" s="208"/>
      <c r="G4" s="1"/>
      <c r="H4" s="1"/>
      <c r="I4" s="1"/>
      <c r="J4" s="1"/>
      <c r="K4" s="1"/>
      <c r="L4" s="1"/>
      <c r="M4" s="1"/>
      <c r="N4" s="1"/>
      <c r="O4" s="1"/>
      <c r="P4" s="6"/>
      <c r="Q4" s="1"/>
      <c r="R4" s="1" t="s">
        <v>0</v>
      </c>
      <c r="S4" s="7" t="s">
        <v>5</v>
      </c>
      <c r="T4" s="1"/>
      <c r="U4" s="6"/>
      <c r="V4" s="8"/>
      <c r="W4" s="8"/>
      <c r="X4" s="1"/>
      <c r="Y4" s="1" t="s">
        <v>6</v>
      </c>
      <c r="Z4" s="1"/>
      <c r="AA4" s="1"/>
      <c r="AB4" s="1"/>
      <c r="AC4" s="1"/>
      <c r="AD4" s="1"/>
      <c r="AE4" s="1"/>
      <c r="AF4" s="1"/>
      <c r="AG4" s="1"/>
      <c r="AH4" s="1"/>
      <c r="AI4" s="1"/>
      <c r="AJ4" s="1"/>
      <c r="AK4" s="1"/>
      <c r="AL4" s="1"/>
      <c r="AM4" s="1"/>
      <c r="AN4" s="1"/>
      <c r="AO4" s="1"/>
      <c r="AP4" s="1"/>
      <c r="AQ4" s="1"/>
      <c r="AR4" s="1"/>
      <c r="AS4" s="1"/>
      <c r="AT4" s="1"/>
      <c r="AU4" s="1"/>
      <c r="AV4" s="1"/>
      <c r="AW4" s="1"/>
    </row>
    <row r="5" spans="1:49" ht="12" customHeight="1">
      <c r="A5" s="5"/>
      <c r="B5" s="1"/>
      <c r="C5" s="1"/>
      <c r="D5" s="1"/>
      <c r="E5" s="1"/>
      <c r="F5" s="1"/>
      <c r="G5" s="1"/>
      <c r="H5" s="1"/>
      <c r="I5" s="1"/>
      <c r="J5" s="1"/>
      <c r="K5" s="9" t="str">
        <f>IF($D$14="English","Test Date:","Testdatum")</f>
        <v>Test Date:</v>
      </c>
      <c r="L5" s="243"/>
      <c r="M5" s="215"/>
      <c r="N5" s="215"/>
      <c r="O5" s="215"/>
      <c r="P5" s="215"/>
      <c r="Q5" s="216"/>
      <c r="R5" s="1"/>
      <c r="S5" s="10" t="s">
        <v>7</v>
      </c>
      <c r="T5" s="1"/>
      <c r="U5" s="6"/>
      <c r="V5" s="8"/>
      <c r="W5" s="8"/>
      <c r="X5" s="1"/>
      <c r="Y5" s="1"/>
      <c r="Z5" s="1"/>
      <c r="AA5" s="1"/>
      <c r="AB5" s="1"/>
      <c r="AC5" s="1"/>
      <c r="AD5" s="1"/>
      <c r="AE5" s="1"/>
      <c r="AF5" s="1"/>
      <c r="AG5" s="1"/>
      <c r="AH5" s="1"/>
      <c r="AI5" s="1"/>
      <c r="AJ5" s="1"/>
      <c r="AK5" s="1"/>
      <c r="AL5" s="1"/>
      <c r="AM5" s="1"/>
      <c r="AN5" s="1"/>
      <c r="AO5" s="1"/>
      <c r="AP5" s="1"/>
      <c r="AQ5" s="1"/>
      <c r="AR5" s="1"/>
      <c r="AS5" s="1"/>
      <c r="AT5" s="1"/>
      <c r="AU5" s="1"/>
      <c r="AV5" s="1"/>
      <c r="AW5" s="1"/>
    </row>
    <row r="6" spans="1:49" ht="12" customHeight="1">
      <c r="A6" s="1"/>
      <c r="B6" s="1"/>
      <c r="C6" s="9" t="str">
        <f>IF($D$14="English","Part No.:","Modell Nr.")</f>
        <v>Part No.:</v>
      </c>
      <c r="D6" s="275"/>
      <c r="E6" s="215"/>
      <c r="F6" s="215"/>
      <c r="G6" s="215"/>
      <c r="H6" s="216"/>
      <c r="I6" s="1"/>
      <c r="J6" s="1"/>
      <c r="K6" s="9" t="str">
        <f>IF($D$14="English","Test Officer:","RVO")</f>
        <v>Test Officer:</v>
      </c>
      <c r="L6" s="214"/>
      <c r="M6" s="215"/>
      <c r="N6" s="215"/>
      <c r="O6" s="215"/>
      <c r="P6" s="215"/>
      <c r="Q6" s="216"/>
      <c r="R6" s="1"/>
      <c r="S6" s="234" t="s">
        <v>8</v>
      </c>
      <c r="T6" s="223"/>
      <c r="U6" s="220"/>
      <c r="V6" s="1"/>
      <c r="W6" s="1"/>
      <c r="X6" s="1"/>
      <c r="Y6" s="1"/>
      <c r="Z6" s="1"/>
      <c r="AA6" s="1"/>
      <c r="AB6" s="1"/>
      <c r="AC6" s="1"/>
      <c r="AD6" s="1"/>
      <c r="AE6" s="1"/>
      <c r="AF6" s="1"/>
      <c r="AG6" s="1"/>
      <c r="AH6" s="1"/>
      <c r="AI6" s="1"/>
      <c r="AJ6" s="1"/>
      <c r="AK6" s="1"/>
      <c r="AL6" s="1"/>
      <c r="AM6" s="1"/>
      <c r="AN6" s="1"/>
      <c r="AO6" s="1"/>
      <c r="AP6" s="1"/>
      <c r="AQ6" s="1"/>
      <c r="AR6" s="1"/>
      <c r="AS6" s="1"/>
      <c r="AT6" s="1"/>
      <c r="AU6" s="1"/>
      <c r="AV6" s="1"/>
      <c r="AW6" s="1"/>
    </row>
    <row r="7" spans="1:49" ht="12" customHeight="1">
      <c r="G7" s="1"/>
      <c r="H7" s="1"/>
      <c r="I7" s="1"/>
      <c r="J7" s="1"/>
      <c r="K7" s="9" t="str">
        <f>IF($D$14="English","Scale No.","Waagen S/N.")</f>
        <v>Scale No.</v>
      </c>
      <c r="L7" s="214"/>
      <c r="M7" s="215"/>
      <c r="N7" s="215"/>
      <c r="O7" s="215"/>
      <c r="P7" s="215"/>
      <c r="Q7" s="216"/>
      <c r="R7" s="1"/>
      <c r="S7" s="1" t="s">
        <v>9</v>
      </c>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row>
    <row r="8" spans="1:49" ht="12" customHeight="1">
      <c r="G8" s="1"/>
      <c r="H8" s="1"/>
      <c r="I8" s="1"/>
      <c r="J8" s="1"/>
      <c r="K8" s="9" t="str">
        <f>IF($D$14="English","Indicator S/N.","Waagen S/N.")</f>
        <v>Indicator S/N.</v>
      </c>
      <c r="L8" s="214"/>
      <c r="M8" s="215"/>
      <c r="N8" s="215"/>
      <c r="O8" s="215"/>
      <c r="P8" s="215"/>
      <c r="Q8" s="216"/>
      <c r="R8" s="1"/>
      <c r="S8" s="1" t="s">
        <v>9</v>
      </c>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row>
    <row r="9" spans="1:49" ht="12" customHeight="1">
      <c r="A9" s="1"/>
      <c r="B9" s="1"/>
      <c r="C9" s="6" t="s">
        <v>10</v>
      </c>
      <c r="D9" s="241"/>
      <c r="E9" s="216"/>
      <c r="F9" s="1" t="s">
        <v>11</v>
      </c>
      <c r="G9" s="1"/>
      <c r="H9" s="1"/>
      <c r="I9" s="1"/>
      <c r="J9" s="1"/>
      <c r="K9" s="9" t="str">
        <f>IF($D$14="English","TAC(Type Approval Certificate) Indicator","Bauartzulassung Wägeelektronik")</f>
        <v>TAC(Type Approval Certificate) Indicator</v>
      </c>
      <c r="L9" s="214"/>
      <c r="M9" s="215"/>
      <c r="N9" s="215"/>
      <c r="O9" s="215"/>
      <c r="P9" s="215"/>
      <c r="Q9" s="216"/>
      <c r="R9" s="1"/>
      <c r="S9" s="234" t="s">
        <v>12</v>
      </c>
      <c r="T9" s="223"/>
      <c r="U9" s="220"/>
      <c r="V9" s="1"/>
      <c r="W9" s="1"/>
      <c r="X9" s="1"/>
      <c r="Y9" s="1"/>
      <c r="Z9" s="1"/>
      <c r="AA9" s="1"/>
      <c r="AB9" s="1"/>
      <c r="AC9" s="1"/>
      <c r="AD9" s="1"/>
      <c r="AE9" s="1"/>
      <c r="AF9" s="1"/>
      <c r="AG9" s="1"/>
      <c r="AH9" s="1"/>
      <c r="AI9" s="1"/>
      <c r="AJ9" s="1"/>
      <c r="AK9" s="1"/>
      <c r="AL9" s="1"/>
      <c r="AM9" s="1"/>
      <c r="AN9" s="1"/>
      <c r="AO9" s="1"/>
      <c r="AP9" s="1"/>
      <c r="AQ9" s="1"/>
      <c r="AR9" s="1"/>
      <c r="AS9" s="1"/>
      <c r="AT9" s="1"/>
      <c r="AU9" s="1"/>
      <c r="AV9" s="1"/>
      <c r="AW9" s="1"/>
    </row>
    <row r="10" spans="1:49" ht="12" customHeight="1">
      <c r="A10" s="1"/>
      <c r="B10" s="1"/>
      <c r="C10" s="6" t="s">
        <v>13</v>
      </c>
      <c r="D10" s="241"/>
      <c r="E10" s="216"/>
      <c r="F10" s="1" t="s">
        <v>11</v>
      </c>
      <c r="G10" s="1"/>
      <c r="H10" s="1"/>
      <c r="I10" s="1"/>
      <c r="J10" s="1"/>
      <c r="K10" s="9" t="str">
        <f>IF($D$14="English","Firmware type and version:","Wägeelektronik Programm und Version")</f>
        <v>Firmware type and version:</v>
      </c>
      <c r="L10" s="214"/>
      <c r="M10" s="215"/>
      <c r="N10" s="215"/>
      <c r="O10" s="215"/>
      <c r="P10" s="215"/>
      <c r="Q10" s="216"/>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row>
    <row r="11" spans="1:49" ht="12.75" customHeight="1">
      <c r="A11" s="1"/>
      <c r="B11" s="1"/>
      <c r="C11" s="6" t="s">
        <v>14</v>
      </c>
      <c r="D11" s="242"/>
      <c r="E11" s="216"/>
      <c r="F11" s="1" t="s">
        <v>11</v>
      </c>
      <c r="G11" s="1"/>
      <c r="H11" s="6"/>
      <c r="I11" s="6"/>
      <c r="J11" s="6"/>
      <c r="K11" s="6"/>
      <c r="L11" s="6"/>
      <c r="M11" s="9" t="str">
        <f>IF($D$14="English","Test Weight Calibrations Current?","Standardgewichte kalibriert?")</f>
        <v>Test Weight Calibrations Current?</v>
      </c>
      <c r="N11" s="169"/>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row>
    <row r="12" spans="1:49" ht="12" customHeight="1">
      <c r="A12" s="1"/>
      <c r="B12" s="1"/>
      <c r="C12" s="6" t="s">
        <v>15</v>
      </c>
      <c r="D12" s="242"/>
      <c r="E12" s="216"/>
      <c r="F12" s="1" t="s">
        <v>11</v>
      </c>
      <c r="G12" s="1"/>
      <c r="H12" s="1"/>
      <c r="K12" s="9" t="str">
        <f>IF($D$14="English","Set-No. of Standard-Weights in use","Set-Nr. der Standardgewichte")</f>
        <v>Set-No. of Standard-Weights in use</v>
      </c>
      <c r="L12" s="247"/>
      <c r="M12" s="248"/>
      <c r="N12" s="248"/>
      <c r="O12" s="248"/>
      <c r="P12" s="248"/>
      <c r="Q12" s="249"/>
      <c r="R12" s="1" t="s">
        <v>0</v>
      </c>
      <c r="S12" s="7" t="s">
        <v>16</v>
      </c>
      <c r="T12" s="1"/>
      <c r="U12" s="6"/>
      <c r="V12" s="8"/>
      <c r="W12" s="8"/>
      <c r="X12" s="1"/>
      <c r="Y12" s="1" t="s">
        <v>17</v>
      </c>
      <c r="Z12" s="1"/>
      <c r="AA12" s="1"/>
      <c r="AB12" s="1"/>
      <c r="AC12" s="1"/>
      <c r="AD12" s="1"/>
      <c r="AE12" s="1"/>
      <c r="AF12" s="1"/>
      <c r="AG12" s="1"/>
      <c r="AH12" s="1"/>
      <c r="AI12" s="1"/>
      <c r="AJ12" s="1"/>
      <c r="AK12" s="1"/>
      <c r="AL12" s="1"/>
      <c r="AM12" s="1"/>
      <c r="AN12" s="1"/>
      <c r="AO12" s="1"/>
      <c r="AP12" s="1"/>
      <c r="AQ12" s="1"/>
      <c r="AR12" s="1"/>
      <c r="AS12" s="1"/>
      <c r="AT12" s="1"/>
      <c r="AU12" s="1"/>
      <c r="AV12" s="1"/>
      <c r="AW12" s="1"/>
    </row>
    <row r="13" spans="1:49" ht="12" customHeight="1">
      <c r="A13" s="7"/>
      <c r="B13" s="1"/>
      <c r="C13" s="1"/>
      <c r="D13" s="1"/>
      <c r="E13" s="1"/>
      <c r="F13" s="1"/>
      <c r="G13" s="6"/>
      <c r="H13" s="12" t="s">
        <v>18</v>
      </c>
      <c r="I13" s="254" t="str">
        <f>IF($D$11=0," ",$D$9/$D$11)</f>
        <v xml:space="preserve"> </v>
      </c>
      <c r="J13" s="237"/>
      <c r="L13" s="250"/>
      <c r="M13" s="251"/>
      <c r="N13" s="251"/>
      <c r="O13" s="251"/>
      <c r="P13" s="251"/>
      <c r="Q13" s="252"/>
      <c r="R13" s="1"/>
      <c r="S13" s="234" t="s">
        <v>8</v>
      </c>
      <c r="T13" s="223"/>
      <c r="U13" s="220"/>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row>
    <row r="14" spans="1:49" ht="12" customHeight="1">
      <c r="A14" s="14" t="s">
        <v>19</v>
      </c>
      <c r="B14" s="1"/>
      <c r="C14" s="1"/>
      <c r="D14" s="174" t="s">
        <v>0</v>
      </c>
      <c r="E14" s="16"/>
      <c r="F14" s="1"/>
      <c r="G14" s="6"/>
      <c r="H14" s="12" t="s">
        <v>20</v>
      </c>
      <c r="I14" s="254" t="str">
        <f>IF($D$12=0," ",$D$10/$D$12)</f>
        <v xml:space="preserve"> </v>
      </c>
      <c r="J14" s="237"/>
      <c r="K14" s="1"/>
      <c r="L14" s="1"/>
      <c r="M14" s="1"/>
      <c r="N14" s="1"/>
      <c r="O14" s="1"/>
      <c r="P14" s="1"/>
      <c r="Q14" s="1"/>
      <c r="R14" s="1" t="s">
        <v>2</v>
      </c>
      <c r="S14" s="7" t="s">
        <v>21</v>
      </c>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row>
    <row r="15" spans="1:49" ht="12" customHeight="1">
      <c r="A15" s="1"/>
      <c r="B15" s="1"/>
      <c r="C15" s="1"/>
      <c r="D15" s="1"/>
      <c r="E15" s="1"/>
      <c r="F15" s="1"/>
      <c r="G15" s="6"/>
      <c r="H15" s="12"/>
      <c r="I15" s="13"/>
      <c r="J15" s="13"/>
      <c r="K15" s="6" t="str">
        <f>IF($D$14="English","Set-No. Small Weights in use","Set-Nr. der kleinen Gewichte")</f>
        <v>Set-No. Small Weights in use</v>
      </c>
      <c r="L15" s="247"/>
      <c r="M15" s="248"/>
      <c r="N15" s="248"/>
      <c r="O15" s="248"/>
      <c r="P15" s="248"/>
      <c r="Q15" s="249"/>
      <c r="R15" s="1"/>
      <c r="S15" s="7"/>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row>
    <row r="16" spans="1:49" ht="12" customHeight="1">
      <c r="A16" s="1"/>
      <c r="B16" s="1"/>
      <c r="C16" s="1"/>
      <c r="D16" s="1"/>
      <c r="E16" s="1"/>
      <c r="F16" s="1"/>
      <c r="G16" s="6"/>
      <c r="H16" s="12"/>
      <c r="I16" s="13"/>
      <c r="J16" s="13"/>
      <c r="K16" s="1"/>
      <c r="L16" s="250"/>
      <c r="M16" s="251"/>
      <c r="N16" s="251"/>
      <c r="O16" s="251"/>
      <c r="P16" s="251"/>
      <c r="Q16" s="252"/>
      <c r="R16" s="1"/>
      <c r="S16" s="7"/>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row>
    <row r="17" spans="1:49" ht="17.25" customHeight="1">
      <c r="A17" s="7" t="str">
        <f>IF($D$14="English","Load Cell","Wägezelle")</f>
        <v>Load Cell</v>
      </c>
      <c r="B17" s="1"/>
      <c r="C17" s="1" t="str">
        <f>IF($D$14="English","Manufacturer","Hersteller")</f>
        <v>Manufacturer</v>
      </c>
      <c r="D17" s="1"/>
      <c r="E17" s="240"/>
      <c r="F17" s="215"/>
      <c r="G17" s="215"/>
      <c r="H17" s="216"/>
      <c r="I17" s="1" t="s">
        <v>22</v>
      </c>
      <c r="J17" s="253"/>
      <c r="K17" s="216"/>
      <c r="L17" s="1" t="str">
        <f>IF($D$14="English","Total number:","Gesamtanzahl:")</f>
        <v>Total number:</v>
      </c>
      <c r="M17" s="6"/>
      <c r="N17" s="6"/>
      <c r="O17" s="1"/>
      <c r="P17" s="253"/>
      <c r="Q17" s="216"/>
      <c r="R17" s="1"/>
      <c r="S17" s="234" t="s">
        <v>12</v>
      </c>
      <c r="T17" s="223"/>
      <c r="U17" s="220"/>
      <c r="V17" s="1"/>
      <c r="W17" s="1"/>
      <c r="X17" s="1"/>
      <c r="Y17" s="1" t="s">
        <v>23</v>
      </c>
      <c r="Z17" s="1"/>
      <c r="AA17" s="1"/>
      <c r="AB17" s="1"/>
      <c r="AC17" s="1"/>
      <c r="AD17" s="1"/>
      <c r="AE17" s="1"/>
      <c r="AF17" s="1"/>
      <c r="AG17" s="1"/>
      <c r="AH17" s="1"/>
      <c r="AI17" s="1"/>
      <c r="AJ17" s="1"/>
      <c r="AK17" s="1"/>
      <c r="AL17" s="1"/>
      <c r="AM17" s="1"/>
      <c r="AN17" s="1"/>
      <c r="AO17" s="1"/>
      <c r="AP17" s="1"/>
      <c r="AQ17" s="1"/>
      <c r="AR17" s="1"/>
      <c r="AS17" s="1"/>
      <c r="AT17" s="1"/>
      <c r="AU17" s="1"/>
      <c r="AV17" s="1"/>
      <c r="AW17" s="1"/>
    </row>
    <row r="18" spans="1:49" ht="12" customHeight="1">
      <c r="A18" s="1"/>
      <c r="B18" s="1"/>
      <c r="C18" s="1"/>
      <c r="D18" s="1"/>
      <c r="E18" s="1"/>
      <c r="F18" s="1"/>
      <c r="G18" s="6"/>
      <c r="J18" s="17"/>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row>
    <row r="19" spans="1:49" ht="12" customHeight="1">
      <c r="A19" s="7" t="str">
        <f>IF($D$14="English","1. Repeatability Test (indicator in hi-res mode):","1. Prüfung der Wiederholbarkeit (Indikator in Hi-Res-Modus):")</f>
        <v>1. Repeatability Test (indicator in hi-res mode):</v>
      </c>
      <c r="B19" s="1"/>
      <c r="C19" s="6"/>
      <c r="D19" s="8"/>
      <c r="E19" s="8"/>
      <c r="F19" s="1"/>
      <c r="G19" s="1"/>
      <c r="H19" s="1" t="str">
        <f>IF($D$14="English","accordance to EN45501-2015, A.4.10","gemäß EN45501-2015, A.4.10")</f>
        <v>accordance to EN45501-2015, A.4.10</v>
      </c>
      <c r="I19" s="1"/>
      <c r="J19" s="1"/>
      <c r="K19" s="6"/>
      <c r="L19" s="6"/>
      <c r="M19" s="6"/>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row>
    <row r="20" spans="1:49" ht="12" customHeight="1">
      <c r="A20" s="1" t="str">
        <f>IF($D$14="English","* The zero tracking device may be in operation for the repeatability test.","* Die Nullnachführung darf bei der Prüfung der Wiederholbarkeit eingeschaltet sein")</f>
        <v>* The zero tracking device may be in operation for the repeatability test.</v>
      </c>
      <c r="B20" s="1"/>
      <c r="C20" s="6"/>
      <c r="D20" s="8"/>
      <c r="E20" s="8"/>
      <c r="F20" s="1"/>
      <c r="G20" s="1"/>
      <c r="H20" s="1"/>
      <c r="I20" s="1"/>
      <c r="J20" s="1"/>
      <c r="K20" s="6"/>
      <c r="L20" s="6"/>
      <c r="M20" s="6"/>
      <c r="N20" s="1"/>
      <c r="O20" s="1"/>
      <c r="P20" s="1"/>
      <c r="Q20" s="1"/>
      <c r="R20" s="1" t="s">
        <v>0</v>
      </c>
      <c r="S20" s="7" t="s">
        <v>24</v>
      </c>
      <c r="T20" s="1"/>
      <c r="U20" s="6"/>
      <c r="V20" s="8"/>
      <c r="W20" s="8"/>
      <c r="X20" s="1" t="s">
        <v>25</v>
      </c>
      <c r="Y20" s="1"/>
      <c r="Z20" s="1"/>
      <c r="AA20" s="1"/>
      <c r="AB20" s="1"/>
      <c r="AC20" s="1"/>
      <c r="AD20" s="1"/>
      <c r="AE20" s="1"/>
      <c r="AF20" s="1"/>
      <c r="AG20" s="1"/>
      <c r="AH20" s="1"/>
      <c r="AI20" s="1"/>
      <c r="AJ20" s="1"/>
      <c r="AK20" s="1"/>
      <c r="AL20" s="1"/>
      <c r="AM20" s="1"/>
      <c r="AN20" s="1"/>
      <c r="AO20" s="1"/>
      <c r="AP20" s="1"/>
      <c r="AQ20" s="1"/>
      <c r="AR20" s="1"/>
      <c r="AS20" s="1"/>
      <c r="AT20" s="1"/>
      <c r="AU20" s="1"/>
      <c r="AV20" s="1"/>
      <c r="AW20" s="1"/>
    </row>
    <row r="21" spans="1:49" ht="12" customHeight="1">
      <c r="A21" s="14" t="str">
        <f>IF($D$14="English","Substitution of standard weights: Standard weights of at least 1 t or 50% Max must be available","Einsatz von Ersatzlasten: Standardgewichte von mindestens 1t oder 50%Max müssen vorhanden sein. ")</f>
        <v>Substitution of standard weights: Standard weights of at least 1 t or 50% Max must be available</v>
      </c>
      <c r="B21" s="1"/>
      <c r="C21" s="6"/>
      <c r="D21" s="8"/>
      <c r="E21" s="8"/>
      <c r="F21" s="1"/>
      <c r="G21" s="1"/>
      <c r="H21" s="1"/>
      <c r="I21" s="1"/>
      <c r="J21" s="1"/>
      <c r="K21" s="6"/>
      <c r="L21" s="6"/>
      <c r="M21" s="6"/>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row>
    <row r="22" spans="1:49" ht="12" customHeight="1">
      <c r="A22" s="1"/>
      <c r="B22" s="1"/>
      <c r="C22" s="6"/>
      <c r="D22" s="8"/>
      <c r="E22" s="8"/>
      <c r="F22" s="1"/>
      <c r="G22" s="1"/>
      <c r="H22" s="1"/>
      <c r="I22" s="1"/>
      <c r="J22" s="1"/>
      <c r="K22" s="6"/>
      <c r="L22" s="6"/>
      <c r="M22" s="6"/>
      <c r="N22" s="1"/>
      <c r="O22" s="1"/>
      <c r="P22" s="1"/>
      <c r="Q22" s="1"/>
      <c r="R22" s="1"/>
      <c r="S22" s="7"/>
      <c r="T22" s="1"/>
      <c r="U22" s="6"/>
      <c r="V22" s="8"/>
      <c r="W22" s="8"/>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row>
    <row r="23" spans="1:49" ht="12" customHeight="1">
      <c r="A23" s="234" t="str">
        <f>IF($D$14="English","load must be about","ungefähre Last")</f>
        <v>load must be about</v>
      </c>
      <c r="B23" s="223"/>
      <c r="C23" s="220"/>
      <c r="D23" s="231" t="s">
        <v>26</v>
      </c>
      <c r="E23" s="223"/>
      <c r="F23" s="220"/>
      <c r="G23" s="231" t="s">
        <v>27</v>
      </c>
      <c r="H23" s="220"/>
      <c r="I23" s="231" t="s">
        <v>28</v>
      </c>
      <c r="J23" s="220"/>
      <c r="K23" s="231" t="s">
        <v>29</v>
      </c>
      <c r="L23" s="220"/>
      <c r="M23" s="19" t="s">
        <v>30</v>
      </c>
      <c r="N23" s="231" t="s">
        <v>81</v>
      </c>
      <c r="O23" s="220"/>
      <c r="S23" s="7"/>
      <c r="T23" s="1" t="s">
        <v>31</v>
      </c>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row>
    <row r="24" spans="1:49" ht="12" customHeight="1">
      <c r="A24" s="19" t="s">
        <v>32</v>
      </c>
      <c r="B24" s="239" t="s">
        <v>33</v>
      </c>
      <c r="C24" s="220"/>
      <c r="D24" s="19" t="s">
        <v>32</v>
      </c>
      <c r="E24" s="239" t="s">
        <v>33</v>
      </c>
      <c r="F24" s="220"/>
      <c r="G24" s="231" t="s">
        <v>33</v>
      </c>
      <c r="H24" s="220"/>
      <c r="I24" s="231" t="s">
        <v>33</v>
      </c>
      <c r="J24" s="223"/>
      <c r="K24" s="19" t="s">
        <v>33</v>
      </c>
      <c r="L24" s="21" t="s">
        <v>32</v>
      </c>
      <c r="M24" s="19" t="s">
        <v>34</v>
      </c>
      <c r="N24" s="231" t="s">
        <v>32</v>
      </c>
      <c r="O24" s="220"/>
      <c r="R24" s="23" t="s">
        <v>2</v>
      </c>
      <c r="S24" s="7" t="s">
        <v>35</v>
      </c>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row>
    <row r="25" spans="1:49" ht="12" customHeight="1">
      <c r="A25" s="24" t="str">
        <f t="shared" ref="A25:A27" si="0">IF($D$11=0," ",0.5*$D$9/$D$11)</f>
        <v xml:space="preserve"> </v>
      </c>
      <c r="B25" s="238">
        <f t="shared" ref="B25:B27" si="1">0.5*$D$9</f>
        <v>0</v>
      </c>
      <c r="C25" s="220"/>
      <c r="D25" s="24" t="str">
        <f t="shared" ref="D25:D27" si="2">IF($D$11=0," ",E25/$D$11)</f>
        <v xml:space="preserve"> </v>
      </c>
      <c r="E25" s="271"/>
      <c r="F25" s="216"/>
      <c r="G25" s="269"/>
      <c r="H25" s="216"/>
      <c r="I25" s="270" t="str">
        <f t="shared" ref="I25:I27" si="3">IF(G25=0," ",ROUND((ABS(G25-E25)),4))</f>
        <v xml:space="preserve"> </v>
      </c>
      <c r="J25" s="220"/>
      <c r="K25" s="82">
        <f t="shared" ref="K25:K28" si="4">L25*$D$11</f>
        <v>0</v>
      </c>
      <c r="L25" s="26">
        <f t="shared" ref="L25:L27" si="5">IF(D25=" ",0,IF(D25&lt;=500,0.5,(IF(D25&lt;=2000,1,IF(D25&gt;2000,1.5," ")))))</f>
        <v>0</v>
      </c>
      <c r="M25" s="27" t="str">
        <f t="shared" ref="M25:M32" si="6">IF(I25&lt;=K25,"Y","N")</f>
        <v>N</v>
      </c>
      <c r="N25" s="270" t="str">
        <f t="shared" ref="N25:N27" si="7">IF(E25=0," ",ROUND(I25/$D$11,2))</f>
        <v xml:space="preserve"> </v>
      </c>
      <c r="O25" s="220"/>
      <c r="T25" s="1" t="s">
        <v>36</v>
      </c>
      <c r="U25" s="1"/>
      <c r="V25" s="1"/>
      <c r="W25" s="1"/>
      <c r="X25" s="1"/>
      <c r="Y25" s="1" t="s">
        <v>37</v>
      </c>
      <c r="Z25" s="1"/>
      <c r="AA25" s="1"/>
      <c r="AB25" s="1"/>
      <c r="AC25" s="1"/>
      <c r="AD25" s="1"/>
      <c r="AE25" s="1"/>
      <c r="AF25" s="1"/>
      <c r="AG25" s="1"/>
      <c r="AH25" s="1"/>
      <c r="AI25" s="1"/>
      <c r="AJ25" s="1"/>
      <c r="AK25" s="1"/>
      <c r="AL25" s="1"/>
      <c r="AM25" s="1"/>
      <c r="AN25" s="1"/>
      <c r="AO25" s="1"/>
      <c r="AP25" s="1"/>
      <c r="AQ25" s="1"/>
      <c r="AR25" s="1"/>
      <c r="AS25" s="1"/>
      <c r="AT25" s="1"/>
      <c r="AU25" s="1"/>
      <c r="AV25" s="1"/>
      <c r="AW25" s="1"/>
    </row>
    <row r="26" spans="1:49" ht="12" customHeight="1">
      <c r="A26" s="24" t="str">
        <f t="shared" si="0"/>
        <v xml:space="preserve"> </v>
      </c>
      <c r="B26" s="238">
        <f t="shared" si="1"/>
        <v>0</v>
      </c>
      <c r="C26" s="220"/>
      <c r="D26" s="24" t="str">
        <f t="shared" si="2"/>
        <v xml:space="preserve"> </v>
      </c>
      <c r="E26" s="267">
        <f>E25</f>
        <v>0</v>
      </c>
      <c r="F26" s="220"/>
      <c r="G26" s="269"/>
      <c r="H26" s="216"/>
      <c r="I26" s="270" t="str">
        <f t="shared" si="3"/>
        <v xml:space="preserve"> </v>
      </c>
      <c r="J26" s="220"/>
      <c r="K26" s="82">
        <f t="shared" si="4"/>
        <v>0</v>
      </c>
      <c r="L26" s="26">
        <f t="shared" si="5"/>
        <v>0</v>
      </c>
      <c r="M26" s="27" t="str">
        <f t="shared" si="6"/>
        <v>N</v>
      </c>
      <c r="N26" s="270" t="str">
        <f t="shared" si="7"/>
        <v xml:space="preserve"> </v>
      </c>
      <c r="O26" s="220"/>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row>
    <row r="27" spans="1:49" ht="12" customHeight="1">
      <c r="A27" s="24" t="str">
        <f t="shared" si="0"/>
        <v xml:space="preserve"> </v>
      </c>
      <c r="B27" s="238">
        <f t="shared" si="1"/>
        <v>0</v>
      </c>
      <c r="C27" s="220"/>
      <c r="D27" s="24" t="str">
        <f t="shared" si="2"/>
        <v xml:space="preserve"> </v>
      </c>
      <c r="E27" s="267">
        <f>E25</f>
        <v>0</v>
      </c>
      <c r="F27" s="220"/>
      <c r="G27" s="269"/>
      <c r="H27" s="216"/>
      <c r="I27" s="270" t="str">
        <f t="shared" si="3"/>
        <v xml:space="preserve"> </v>
      </c>
      <c r="J27" s="220"/>
      <c r="K27" s="82">
        <f t="shared" si="4"/>
        <v>0</v>
      </c>
      <c r="L27" s="26">
        <f t="shared" si="5"/>
        <v>0</v>
      </c>
      <c r="M27" s="27" t="str">
        <f t="shared" si="6"/>
        <v>N</v>
      </c>
      <c r="N27" s="270" t="str">
        <f t="shared" si="7"/>
        <v xml:space="preserve"> </v>
      </c>
      <c r="O27" s="220"/>
      <c r="P27" s="1"/>
      <c r="Q27" s="1"/>
      <c r="R27" s="1" t="s">
        <v>0</v>
      </c>
      <c r="S27" s="1" t="s">
        <v>38</v>
      </c>
      <c r="T27" s="1"/>
      <c r="U27" s="1"/>
      <c r="V27" s="1"/>
      <c r="W27" s="1"/>
      <c r="X27" s="1" t="s">
        <v>39</v>
      </c>
      <c r="Y27" s="1"/>
      <c r="Z27" s="1"/>
      <c r="AA27" s="1"/>
      <c r="AB27" s="1"/>
      <c r="AC27" s="1"/>
      <c r="AD27" s="1"/>
      <c r="AE27" s="1"/>
      <c r="AF27" s="1"/>
      <c r="AG27" s="1"/>
      <c r="AH27" s="1"/>
      <c r="AI27" s="1"/>
      <c r="AJ27" s="1"/>
      <c r="AK27" s="1"/>
      <c r="AL27" s="1"/>
      <c r="AM27" s="1"/>
      <c r="AN27" s="1"/>
      <c r="AO27" s="1"/>
      <c r="AP27" s="1"/>
      <c r="AQ27" s="1"/>
      <c r="AR27" s="1"/>
      <c r="AS27" s="1"/>
      <c r="AT27" s="1"/>
      <c r="AU27" s="1"/>
      <c r="AV27" s="1"/>
      <c r="AW27" s="1"/>
    </row>
    <row r="28" spans="1:49" ht="12" customHeight="1">
      <c r="A28" s="1"/>
      <c r="B28" s="8"/>
      <c r="C28" s="8"/>
      <c r="D28" s="1"/>
      <c r="E28" s="44"/>
      <c r="F28" s="44"/>
      <c r="G28" s="231" t="s">
        <v>82</v>
      </c>
      <c r="H28" s="220"/>
      <c r="I28" s="270">
        <f>IF(G25=0,0,ROUND((MAX(G25:H27)-MIN(G25:H27)),4))</f>
        <v>0</v>
      </c>
      <c r="J28" s="220"/>
      <c r="K28" s="82">
        <f t="shared" si="4"/>
        <v>0</v>
      </c>
      <c r="L28" s="26">
        <f>IF(OR(D25=" ",D26=" ",D27=" "),0,IF(AND(D25&lt;=500,D26&lt;=500,D27&lt;=500),0.5,(IF(AND(D25&lt;=2000,D26&lt;=2000,D27&lt;=2000),1,IF(AND(D25&gt;2000,D26&gt;2000,D27&gt;2000),1.5," ")))))</f>
        <v>0</v>
      </c>
      <c r="M28" s="27" t="str">
        <f t="shared" si="6"/>
        <v>Y</v>
      </c>
      <c r="P28" s="1"/>
      <c r="Q28" s="1"/>
      <c r="R28" s="1"/>
      <c r="S28" s="236" t="s">
        <v>41</v>
      </c>
      <c r="T28" s="237"/>
      <c r="U28" s="237"/>
      <c r="V28" s="237"/>
      <c r="W28" s="237"/>
      <c r="X28" s="237"/>
      <c r="Y28" s="1"/>
      <c r="Z28" s="1"/>
      <c r="AA28" s="1"/>
      <c r="AB28" s="1"/>
      <c r="AC28" s="1"/>
      <c r="AD28" s="1"/>
      <c r="AE28" s="1"/>
      <c r="AF28" s="1"/>
      <c r="AG28" s="1"/>
      <c r="AH28" s="1"/>
      <c r="AI28" s="1"/>
      <c r="AJ28" s="1"/>
      <c r="AK28" s="1"/>
      <c r="AL28" s="1"/>
      <c r="AM28" s="1"/>
      <c r="AN28" s="1"/>
      <c r="AO28" s="1"/>
      <c r="AP28" s="1"/>
      <c r="AQ28" s="1"/>
      <c r="AR28" s="1"/>
      <c r="AS28" s="1"/>
      <c r="AT28" s="1"/>
      <c r="AU28" s="1"/>
      <c r="AV28" s="1"/>
      <c r="AW28" s="1"/>
    </row>
    <row r="29" spans="1:49" ht="12" customHeight="1">
      <c r="A29" s="24" t="str">
        <f t="shared" ref="A29:A31" si="8">IF($D$11=0," ",0.5*$D$10/$D$12)</f>
        <v xml:space="preserve"> </v>
      </c>
      <c r="B29" s="238">
        <f t="shared" ref="B29:B31" si="9">0.5*$D$10</f>
        <v>0</v>
      </c>
      <c r="C29" s="220"/>
      <c r="D29" s="24" t="str">
        <f t="shared" ref="D29:D31" si="10">IF($D$12=0," ",E29/$D$12)</f>
        <v xml:space="preserve"> </v>
      </c>
      <c r="E29" s="271"/>
      <c r="F29" s="216"/>
      <c r="G29" s="269"/>
      <c r="H29" s="216"/>
      <c r="I29" s="270" t="str">
        <f t="shared" ref="I29:I31" si="11">IF(G29=0," ",ROUND((ABS(G29-E29)),4))</f>
        <v xml:space="preserve"> </v>
      </c>
      <c r="J29" s="220"/>
      <c r="K29" s="82">
        <f t="shared" ref="K29:K32" si="12">L29*$D$12</f>
        <v>0</v>
      </c>
      <c r="L29" s="26">
        <f t="shared" ref="L29:L31" si="13">IF(D29=" ",0,IF(D29&lt;=500,0.5,(IF(D29&lt;=2000,1,IF(D29&gt;2000,1.5," ")))))</f>
        <v>0</v>
      </c>
      <c r="M29" s="27" t="str">
        <f t="shared" si="6"/>
        <v>N</v>
      </c>
      <c r="N29" s="270" t="str">
        <f t="shared" ref="N29:N31" si="14">IF(E29=0," ",ROUND(I29/$D$12,2))</f>
        <v xml:space="preserve"> </v>
      </c>
      <c r="O29" s="220"/>
      <c r="P29" s="1"/>
      <c r="Q29" s="1"/>
      <c r="R29" s="1"/>
      <c r="S29" s="237"/>
      <c r="T29" s="237"/>
      <c r="U29" s="237"/>
      <c r="V29" s="237"/>
      <c r="W29" s="237"/>
      <c r="X29" s="237"/>
      <c r="Y29" s="1"/>
      <c r="Z29" s="9" t="s">
        <v>42</v>
      </c>
      <c r="AA29" s="1"/>
      <c r="AB29" s="1"/>
      <c r="AC29" s="1"/>
      <c r="AD29" s="1"/>
      <c r="AE29" s="1"/>
      <c r="AF29" s="1"/>
      <c r="AG29" s="1"/>
      <c r="AH29" s="1"/>
      <c r="AI29" s="1"/>
      <c r="AJ29" s="1"/>
      <c r="AK29" s="1"/>
      <c r="AL29" s="1"/>
      <c r="AM29" s="1"/>
      <c r="AN29" s="1"/>
      <c r="AO29" s="1"/>
      <c r="AP29" s="1"/>
      <c r="AQ29" s="1"/>
      <c r="AR29" s="1"/>
      <c r="AS29" s="1"/>
      <c r="AT29" s="1"/>
      <c r="AU29" s="1"/>
      <c r="AV29" s="1"/>
      <c r="AW29" s="1"/>
    </row>
    <row r="30" spans="1:49" ht="12" customHeight="1">
      <c r="A30" s="24" t="str">
        <f t="shared" si="8"/>
        <v xml:space="preserve"> </v>
      </c>
      <c r="B30" s="238">
        <f t="shared" si="9"/>
        <v>0</v>
      </c>
      <c r="C30" s="220"/>
      <c r="D30" s="24" t="str">
        <f t="shared" si="10"/>
        <v xml:space="preserve"> </v>
      </c>
      <c r="E30" s="267">
        <f>E29</f>
        <v>0</v>
      </c>
      <c r="F30" s="220"/>
      <c r="G30" s="269"/>
      <c r="H30" s="216"/>
      <c r="I30" s="270" t="str">
        <f t="shared" si="11"/>
        <v xml:space="preserve"> </v>
      </c>
      <c r="J30" s="220"/>
      <c r="K30" s="82">
        <f t="shared" si="12"/>
        <v>0</v>
      </c>
      <c r="L30" s="26">
        <f t="shared" si="13"/>
        <v>0</v>
      </c>
      <c r="M30" s="27" t="str">
        <f t="shared" si="6"/>
        <v>N</v>
      </c>
      <c r="N30" s="270" t="str">
        <f t="shared" si="14"/>
        <v xml:space="preserve"> </v>
      </c>
      <c r="O30" s="220"/>
      <c r="P30" s="1"/>
      <c r="Q30" s="13" t="str">
        <f>IF(AND(N25&gt;=N26,N25&gt;=N27,N25&gt;=N29,N25&gt;=N30,N25&gt;=N31),N25,IF(AND(N26&gt;=N25,N26&gt;=N27,N26&gt;=N29,N26&gt;=N30,N26&gt;=N31),N26,IF(AND(N27&gt;=N25,N27&gt;=N26,N27&gt;=N29,N27&gt;=N30,N27&gt;=N31),N27,IF(AND(N29&gt;=N25,N29&gt;=N26,N29&gt;=N27,N29&gt;=N30,N29&gt;=N31),N29,IF(AND(N30&gt;=N25,N30&gt;=N26,N30&gt;=N27,N30&gt;=N29,N30&gt;=N31),N30,IF(AND(N31&gt;=N25,N31&gt;=N26,N31&gt;=N27,N31&gt;=N29,N31&gt;=N30),N31))))))</f>
        <v xml:space="preserve"> </v>
      </c>
      <c r="R30" s="23" t="s">
        <v>2</v>
      </c>
      <c r="S30" s="1" t="s">
        <v>43</v>
      </c>
      <c r="T30" s="1"/>
      <c r="U30" s="1"/>
      <c r="V30" s="1"/>
      <c r="W30" s="1"/>
      <c r="X30" s="14" t="s">
        <v>83</v>
      </c>
      <c r="Y30" s="14"/>
      <c r="Z30" s="14"/>
      <c r="AA30" s="14"/>
      <c r="AB30" s="14"/>
      <c r="AC30" s="1"/>
      <c r="AD30" s="1"/>
      <c r="AE30" s="1"/>
      <c r="AF30" s="1"/>
      <c r="AG30" s="1"/>
      <c r="AH30" s="1"/>
      <c r="AI30" s="1"/>
      <c r="AJ30" s="1"/>
      <c r="AK30" s="1"/>
      <c r="AL30" s="1"/>
      <c r="AM30" s="1"/>
      <c r="AN30" s="1"/>
      <c r="AO30" s="1"/>
      <c r="AP30" s="1"/>
      <c r="AQ30" s="1"/>
      <c r="AR30" s="1"/>
      <c r="AS30" s="1"/>
      <c r="AT30" s="1"/>
      <c r="AU30" s="1"/>
      <c r="AV30" s="1"/>
      <c r="AW30" s="1"/>
    </row>
    <row r="31" spans="1:49" ht="12" customHeight="1">
      <c r="A31" s="24" t="str">
        <f t="shared" si="8"/>
        <v xml:space="preserve"> </v>
      </c>
      <c r="B31" s="238">
        <f t="shared" si="9"/>
        <v>0</v>
      </c>
      <c r="C31" s="220"/>
      <c r="D31" s="24" t="str">
        <f t="shared" si="10"/>
        <v xml:space="preserve"> </v>
      </c>
      <c r="E31" s="267">
        <f>E29</f>
        <v>0</v>
      </c>
      <c r="F31" s="220"/>
      <c r="G31" s="269"/>
      <c r="H31" s="216"/>
      <c r="I31" s="270" t="str">
        <f t="shared" si="11"/>
        <v xml:space="preserve"> </v>
      </c>
      <c r="J31" s="220"/>
      <c r="K31" s="82">
        <f t="shared" si="12"/>
        <v>0</v>
      </c>
      <c r="L31" s="26">
        <f t="shared" si="13"/>
        <v>0</v>
      </c>
      <c r="M31" s="27" t="str">
        <f t="shared" si="6"/>
        <v>N</v>
      </c>
      <c r="N31" s="270" t="str">
        <f t="shared" si="14"/>
        <v xml:space="preserve"> </v>
      </c>
      <c r="O31" s="220"/>
      <c r="P31" s="1"/>
      <c r="Q31" s="1"/>
      <c r="R31" s="1"/>
      <c r="S31" s="236" t="s">
        <v>45</v>
      </c>
      <c r="T31" s="237"/>
      <c r="U31" s="237"/>
      <c r="V31" s="237"/>
      <c r="W31" s="237"/>
      <c r="X31" s="237"/>
      <c r="Y31" s="1" t="s">
        <v>46</v>
      </c>
      <c r="Z31" s="1"/>
      <c r="AA31" s="1"/>
      <c r="AB31" s="1"/>
      <c r="AC31" s="1"/>
      <c r="AD31" s="1"/>
      <c r="AE31" s="1"/>
      <c r="AF31" s="1"/>
      <c r="AG31" s="1"/>
      <c r="AH31" s="1"/>
      <c r="AI31" s="1"/>
      <c r="AJ31" s="1"/>
      <c r="AK31" s="1"/>
      <c r="AL31" s="1"/>
      <c r="AM31" s="1"/>
      <c r="AN31" s="1"/>
      <c r="AO31" s="1"/>
      <c r="AP31" s="1"/>
      <c r="AQ31" s="1"/>
      <c r="AR31" s="1"/>
      <c r="AS31" s="1"/>
      <c r="AT31" s="1"/>
      <c r="AU31" s="1"/>
      <c r="AV31" s="1"/>
      <c r="AW31" s="1"/>
    </row>
    <row r="32" spans="1:49" ht="12" customHeight="1">
      <c r="A32" s="28"/>
      <c r="B32" s="31"/>
      <c r="C32" s="32"/>
      <c r="D32" s="28"/>
      <c r="E32" s="83"/>
      <c r="F32" s="84"/>
      <c r="G32" s="231" t="s">
        <v>84</v>
      </c>
      <c r="H32" s="220"/>
      <c r="I32" s="270">
        <f>IF(G29=0,0,ROUND((MAX(G29:H31)-MIN(G29:H31)),4))</f>
        <v>0</v>
      </c>
      <c r="J32" s="220"/>
      <c r="K32" s="82">
        <f t="shared" si="12"/>
        <v>0</v>
      </c>
      <c r="L32" s="26">
        <f>IF(OR(D29=" ",D30=" ",D31=" "),0,IF(AND(D29&lt;=500,D30&lt;=500,D31&lt;=500),0.5,(IF(AND(D29&lt;=2000,D30&lt;=2000,D31&lt;=2000),1,IF(AND(D29&gt;2000,D30&gt;2000,D31&gt;2000),1.5," ")))))</f>
        <v>0</v>
      </c>
      <c r="M32" s="27" t="str">
        <f t="shared" si="6"/>
        <v>Y</v>
      </c>
      <c r="N32" s="43"/>
      <c r="O32" s="43"/>
      <c r="P32" s="1"/>
      <c r="Q32" s="1"/>
      <c r="R32" s="1"/>
      <c r="S32" s="237"/>
      <c r="T32" s="237"/>
      <c r="U32" s="237"/>
      <c r="V32" s="237"/>
      <c r="W32" s="237"/>
      <c r="X32" s="237"/>
      <c r="Y32" s="1"/>
      <c r="Z32" s="1"/>
      <c r="AA32" s="1"/>
      <c r="AB32" s="1"/>
      <c r="AC32" s="1"/>
      <c r="AD32" s="1"/>
      <c r="AE32" s="1"/>
      <c r="AF32" s="1"/>
      <c r="AG32" s="1"/>
      <c r="AH32" s="1"/>
      <c r="AI32" s="1"/>
      <c r="AJ32" s="1"/>
      <c r="AK32" s="1"/>
      <c r="AL32" s="1"/>
      <c r="AM32" s="1"/>
      <c r="AN32" s="1"/>
      <c r="AO32" s="1"/>
      <c r="AP32" s="1"/>
      <c r="AQ32" s="1"/>
      <c r="AR32" s="1"/>
      <c r="AS32" s="1"/>
      <c r="AT32" s="1"/>
      <c r="AU32" s="1"/>
      <c r="AV32" s="1"/>
      <c r="AW32" s="1"/>
    </row>
    <row r="33" spans="1:49" ht="12" customHeight="1">
      <c r="A33" s="1"/>
      <c r="B33" s="1"/>
      <c r="C33" s="1"/>
      <c r="D33" s="1"/>
      <c r="E33" s="1"/>
      <c r="F33" s="1"/>
      <c r="G33" s="1"/>
      <c r="H33" s="1"/>
      <c r="I33" s="1"/>
      <c r="J33" s="224" t="str">
        <f>IF($D$14="English","Test passed?","Test bestanden?")</f>
        <v>Test passed?</v>
      </c>
      <c r="K33" s="225"/>
      <c r="L33" s="226"/>
      <c r="M33" s="27" t="str">
        <f>IF(AND(M25="Y",M26="Y",M27="Y",M28="Y",M29="Y",M30="Y",M31="Y",M32="Y"),"Y","N")</f>
        <v>N</v>
      </c>
      <c r="N33" s="1"/>
      <c r="O33" s="1"/>
      <c r="P33" s="1"/>
      <c r="Q33" s="1"/>
      <c r="R33" s="1"/>
      <c r="S33" s="237"/>
      <c r="T33" s="237"/>
      <c r="U33" s="237"/>
      <c r="V33" s="237"/>
      <c r="W33" s="237"/>
      <c r="X33" s="237"/>
      <c r="Y33" s="1"/>
      <c r="Z33" s="1"/>
      <c r="AA33" s="1"/>
      <c r="AB33" s="1"/>
      <c r="AC33" s="1"/>
      <c r="AD33" s="1"/>
      <c r="AE33" s="1"/>
      <c r="AF33" s="1"/>
      <c r="AG33" s="1"/>
      <c r="AH33" s="1"/>
      <c r="AI33" s="1"/>
      <c r="AJ33" s="1"/>
      <c r="AK33" s="1"/>
      <c r="AL33" s="1"/>
      <c r="AM33" s="1"/>
      <c r="AN33" s="1"/>
      <c r="AO33" s="1"/>
      <c r="AP33" s="1"/>
      <c r="AQ33" s="1"/>
      <c r="AR33" s="1"/>
      <c r="AS33" s="1"/>
      <c r="AT33" s="1"/>
      <c r="AU33" s="1"/>
      <c r="AV33" s="1"/>
      <c r="AW33" s="1"/>
    </row>
    <row r="34" spans="1:49" ht="14.25" customHeight="1">
      <c r="A34" s="1"/>
      <c r="B34" s="1"/>
      <c r="C34" s="1"/>
      <c r="D34" s="1" t="str">
        <f>IF(D18="deutsch","Anteil Eichgewichte:","Contingent of standard weights:")</f>
        <v>Contingent of standard weights:</v>
      </c>
      <c r="E34" s="85"/>
      <c r="F34" s="85"/>
      <c r="G34" s="13"/>
      <c r="H34" s="13"/>
      <c r="I34" s="7" t="str">
        <f>IF(OR(D11=0,D12=0)," ",IF(AND(ROUND(I28/D11,2)&lt;=0.2,ROUND(I32/D12,2)&lt;=0.2),"1/5 Max",IF(AND(ROUND(I28/D11,2)&lt;=0.3,ROUND(I32/D12,2)&lt;=0.3),"1/3 Max","1/2 Max")))</f>
        <v xml:space="preserve"> </v>
      </c>
      <c r="J34" s="13"/>
      <c r="K34" s="86" t="s">
        <v>85</v>
      </c>
      <c r="L34" s="273" t="str">
        <f>IF(OR(D11=0,D12=0)," ",IF(AND(ROUND(I28/D11,2)&lt;=0.2,ROUND(I32/D12,2)&lt;=0.2),D10/5,IF(AND(ROUND(I28/D11,2)&lt;=0.3,ROUND(I32/D12,2)&lt;=0.3),D10/3,D10/2)))</f>
        <v xml:space="preserve"> </v>
      </c>
      <c r="M34" s="237"/>
      <c r="N34" s="237"/>
      <c r="O34" s="13" t="s">
        <v>11</v>
      </c>
      <c r="P34" s="1"/>
      <c r="Q34" s="1"/>
      <c r="R34" s="88"/>
      <c r="S34" s="1"/>
      <c r="AA34" s="1"/>
      <c r="AB34" s="1"/>
      <c r="AC34" s="1"/>
      <c r="AD34" s="1"/>
      <c r="AE34" s="1"/>
      <c r="AF34" s="1"/>
      <c r="AG34" s="1"/>
      <c r="AH34" s="1"/>
      <c r="AI34" s="1"/>
      <c r="AJ34" s="1"/>
      <c r="AK34" s="1"/>
      <c r="AL34" s="1"/>
      <c r="AM34" s="1"/>
      <c r="AN34" s="1"/>
      <c r="AO34" s="1"/>
      <c r="AP34" s="1"/>
      <c r="AQ34" s="1"/>
      <c r="AR34" s="1"/>
      <c r="AS34" s="1"/>
      <c r="AT34" s="1"/>
      <c r="AU34" s="1"/>
      <c r="AV34" s="1"/>
      <c r="AW34" s="1"/>
    </row>
    <row r="35" spans="1:49" ht="14.25" customHeight="1">
      <c r="A35" s="1"/>
      <c r="B35" s="1"/>
      <c r="C35" s="1"/>
      <c r="D35" s="1"/>
      <c r="E35" s="85"/>
      <c r="F35" s="85"/>
      <c r="G35" s="13"/>
      <c r="H35" s="13"/>
      <c r="I35" s="88"/>
      <c r="J35" s="13"/>
      <c r="K35" s="86"/>
      <c r="L35" s="87"/>
      <c r="M35" s="89"/>
      <c r="N35" s="13"/>
      <c r="O35" s="13"/>
      <c r="P35" s="1"/>
      <c r="Q35" s="1"/>
      <c r="R35" s="88"/>
      <c r="S35" s="1"/>
      <c r="AA35" s="1"/>
      <c r="AB35" s="1"/>
      <c r="AC35" s="1"/>
      <c r="AD35" s="1"/>
      <c r="AE35" s="1"/>
      <c r="AF35" s="1"/>
      <c r="AG35" s="1"/>
      <c r="AH35" s="1"/>
      <c r="AI35" s="1"/>
      <c r="AJ35" s="1"/>
      <c r="AK35" s="1"/>
      <c r="AL35" s="1"/>
      <c r="AM35" s="1"/>
      <c r="AN35" s="1"/>
      <c r="AO35" s="1"/>
      <c r="AP35" s="1"/>
      <c r="AQ35" s="1"/>
      <c r="AR35" s="1"/>
      <c r="AS35" s="1"/>
      <c r="AT35" s="1"/>
      <c r="AU35" s="1"/>
      <c r="AV35" s="1"/>
      <c r="AW35" s="1"/>
    </row>
    <row r="36" spans="1:49" ht="15.75" customHeight="1">
      <c r="A36" s="7" t="str">
        <f>IF($D$14="English","2.  Accuracy of Zero Device (hi-res mode: off):","2.  Prüfung der Genauigkeit der Nullstellung (Hi-Res-Modus aus):")</f>
        <v>2.  Accuracy of Zero Device (hi-res mode: off):</v>
      </c>
      <c r="B36" s="1"/>
      <c r="C36" s="1"/>
      <c r="D36" s="1"/>
      <c r="E36" s="1"/>
      <c r="F36" s="1"/>
      <c r="G36" s="1"/>
      <c r="H36" s="1" t="str">
        <f>IF($D$14="English","accordance to EN45501-2015, A.4.2.3","gemäß EN45501-2015, A.4.2.3")</f>
        <v>accordance to EN45501-2015, A.4.2.3</v>
      </c>
      <c r="I36" s="1"/>
      <c r="J36" s="1"/>
      <c r="K36" s="1"/>
      <c r="L36" s="30"/>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row>
    <row r="37" spans="1:49" ht="12" customHeight="1">
      <c r="A37" s="231" t="s">
        <v>48</v>
      </c>
      <c r="B37" s="223"/>
      <c r="C37" s="223"/>
      <c r="D37" s="220"/>
      <c r="E37" s="231" t="s">
        <v>49</v>
      </c>
      <c r="F37" s="223"/>
      <c r="G37" s="220"/>
      <c r="H37" s="231" t="s">
        <v>29</v>
      </c>
      <c r="I37" s="223"/>
      <c r="J37" s="220"/>
      <c r="K37" s="19" t="s">
        <v>30</v>
      </c>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row>
    <row r="38" spans="1:49" ht="12.75" customHeight="1">
      <c r="A38" s="231" t="s">
        <v>33</v>
      </c>
      <c r="B38" s="223"/>
      <c r="C38" s="223"/>
      <c r="D38" s="220"/>
      <c r="E38" s="231" t="s">
        <v>33</v>
      </c>
      <c r="F38" s="223"/>
      <c r="G38" s="220"/>
      <c r="H38" s="231" t="s">
        <v>33</v>
      </c>
      <c r="I38" s="220"/>
      <c r="J38" s="19" t="s">
        <v>32</v>
      </c>
      <c r="K38" s="19" t="s">
        <v>34</v>
      </c>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row>
    <row r="39" spans="1:49" ht="12" customHeight="1">
      <c r="A39" s="235"/>
      <c r="B39" s="215"/>
      <c r="C39" s="215"/>
      <c r="D39" s="216"/>
      <c r="E39" s="270">
        <f>0.5*$D$11-$A$39</f>
        <v>0</v>
      </c>
      <c r="F39" s="223"/>
      <c r="G39" s="220"/>
      <c r="H39" s="270">
        <f>J39*$D$11</f>
        <v>0</v>
      </c>
      <c r="I39" s="220"/>
      <c r="J39" s="24">
        <v>0.25</v>
      </c>
      <c r="K39" s="27" t="str">
        <f>IF(D39=" ","N",IF(H39&gt;=ABS($E39),"Y","N"))</f>
        <v>Y</v>
      </c>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row>
    <row r="40" spans="1:49" ht="12" customHeight="1">
      <c r="A40" s="7"/>
      <c r="B40" s="7"/>
      <c r="C40" s="1"/>
      <c r="D40" s="1"/>
      <c r="E40" s="1"/>
      <c r="F40" s="1"/>
      <c r="G40" s="1"/>
      <c r="H40" s="1"/>
      <c r="I40" s="1"/>
      <c r="J40" s="6" t="str">
        <f>IF($D$14="English","Test passed?","Test bestanden?")</f>
        <v>Test passed?</v>
      </c>
      <c r="K40" s="27" t="str">
        <f>IF(K39="Y","Y","N")</f>
        <v>Y</v>
      </c>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row>
    <row r="41" spans="1:49" ht="12" customHeight="1">
      <c r="A41" s="7"/>
      <c r="B41" s="1"/>
      <c r="C41" s="1"/>
      <c r="D41" s="1"/>
      <c r="E41" s="1"/>
      <c r="F41" s="1"/>
      <c r="G41" s="1"/>
      <c r="H41" s="1"/>
      <c r="I41" s="1"/>
      <c r="J41" s="1"/>
      <c r="K41" s="1"/>
      <c r="L41" s="30"/>
      <c r="M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row>
    <row r="42" spans="1:49" ht="12" customHeight="1">
      <c r="A42" s="7" t="str">
        <f>IF($D$14="English","3.  Accuracy of Tare Device  (hi-res mode: off):","3.  Genauigkeit der Tarierung  (Hi-Res-Modus: aus):")</f>
        <v>3.  Accuracy of Tare Device  (hi-res mode: off):</v>
      </c>
      <c r="B42" s="31"/>
      <c r="C42" s="32"/>
      <c r="D42" s="1"/>
      <c r="E42" s="1"/>
      <c r="F42" s="1"/>
      <c r="G42" s="1" t="str">
        <f>IF($D$14="English","accordance to EN45501-2015, A.4.6.2","gemäß EN45501-2015, A.4.6.2")</f>
        <v>accordance to EN45501-2015, A.4.6.2</v>
      </c>
      <c r="H42" s="1"/>
      <c r="J42" s="17"/>
      <c r="K42" s="1"/>
      <c r="L42" s="1"/>
      <c r="M42" s="33" t="s">
        <v>50</v>
      </c>
      <c r="O42" s="34"/>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row>
    <row r="43" spans="1:49" ht="12" customHeight="1">
      <c r="A43" s="1"/>
      <c r="B43" s="31"/>
      <c r="C43" s="32"/>
      <c r="D43" s="1"/>
      <c r="E43" s="1"/>
      <c r="F43" s="1"/>
      <c r="G43" s="6"/>
      <c r="H43" s="1"/>
      <c r="J43" s="17"/>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row>
    <row r="44" spans="1:49" ht="12" customHeight="1">
      <c r="A44" s="231" t="s">
        <v>48</v>
      </c>
      <c r="B44" s="223"/>
      <c r="C44" s="223"/>
      <c r="D44" s="220"/>
      <c r="E44" s="231" t="s">
        <v>51</v>
      </c>
      <c r="F44" s="223"/>
      <c r="G44" s="220"/>
      <c r="H44" s="231" t="s">
        <v>29</v>
      </c>
      <c r="I44" s="220"/>
      <c r="J44" s="19" t="s">
        <v>30</v>
      </c>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row>
    <row r="45" spans="1:49" ht="12" customHeight="1">
      <c r="A45" s="231" t="s">
        <v>33</v>
      </c>
      <c r="B45" s="223"/>
      <c r="C45" s="223"/>
      <c r="D45" s="220"/>
      <c r="E45" s="231" t="s">
        <v>33</v>
      </c>
      <c r="F45" s="223"/>
      <c r="G45" s="220"/>
      <c r="H45" s="19" t="s">
        <v>33</v>
      </c>
      <c r="I45" s="21" t="s">
        <v>32</v>
      </c>
      <c r="J45" s="19" t="s">
        <v>34</v>
      </c>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row>
    <row r="46" spans="1:49" ht="12" customHeight="1">
      <c r="A46" s="272"/>
      <c r="B46" s="215"/>
      <c r="C46" s="215"/>
      <c r="D46" s="216"/>
      <c r="E46" s="270" t="str">
        <f>IF(A46=0," ",0.5*$D$11-$A$46)</f>
        <v xml:space="preserve"> </v>
      </c>
      <c r="F46" s="223"/>
      <c r="G46" s="220"/>
      <c r="H46" s="90">
        <f>I46*$D$11</f>
        <v>0</v>
      </c>
      <c r="I46" s="36">
        <v>0.25</v>
      </c>
      <c r="J46" s="27" t="str">
        <f>IF(A46=0," ",IF(H46&gt;=ABS($E46),"Y","N"))</f>
        <v xml:space="preserve"> </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row>
    <row r="47" spans="1:49" ht="12" customHeight="1">
      <c r="A47" s="7"/>
      <c r="B47" s="7"/>
      <c r="C47" s="1"/>
      <c r="D47" s="1"/>
      <c r="E47" s="1"/>
      <c r="F47" s="1"/>
      <c r="G47" s="1"/>
      <c r="H47" s="1"/>
      <c r="I47" s="6" t="str">
        <f>IF($D$14="English","Test passed?","Test bestanden?")</f>
        <v>Test passed?</v>
      </c>
      <c r="J47" s="27" t="str">
        <f>IF(J46="Y","Y","N")</f>
        <v>N</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row>
    <row r="48" spans="1:49" ht="12" customHeight="1">
      <c r="A48" s="1"/>
      <c r="B48" s="1"/>
      <c r="C48" s="1"/>
      <c r="D48" s="1"/>
      <c r="E48" s="1"/>
      <c r="F48" s="1"/>
      <c r="G48" s="6"/>
      <c r="J48" s="17"/>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row>
    <row r="49" spans="1:49" ht="12" customHeight="1">
      <c r="A49" s="1"/>
      <c r="B49" s="1"/>
      <c r="C49" s="1"/>
      <c r="D49" s="1"/>
      <c r="E49" s="1"/>
      <c r="F49" s="1"/>
      <c r="G49" s="1"/>
      <c r="H49" s="1"/>
      <c r="I49" s="1"/>
      <c r="J49" s="6"/>
      <c r="N49" s="1"/>
      <c r="O49" s="1"/>
      <c r="P49" s="1"/>
      <c r="Q49" s="1"/>
      <c r="R49" s="1"/>
      <c r="S49" s="29"/>
      <c r="T49" s="29"/>
      <c r="U49" s="29"/>
      <c r="V49" s="29"/>
      <c r="W49" s="29"/>
      <c r="X49" s="29"/>
      <c r="Y49" s="1"/>
      <c r="Z49" s="1"/>
      <c r="AA49" s="1"/>
      <c r="AB49" s="1"/>
      <c r="AC49" s="1"/>
      <c r="AD49" s="1"/>
      <c r="AE49" s="1"/>
      <c r="AF49" s="1"/>
      <c r="AG49" s="1"/>
      <c r="AH49" s="1"/>
      <c r="AI49" s="1"/>
      <c r="AJ49" s="1"/>
      <c r="AK49" s="1"/>
      <c r="AL49" s="1"/>
      <c r="AM49" s="1"/>
      <c r="AN49" s="1"/>
      <c r="AO49" s="1"/>
      <c r="AP49" s="1"/>
      <c r="AQ49" s="1"/>
      <c r="AR49" s="1"/>
      <c r="AS49" s="1"/>
      <c r="AT49" s="1"/>
      <c r="AU49" s="1"/>
      <c r="AV49" s="1"/>
      <c r="AW49" s="1"/>
    </row>
    <row r="50" spans="1:49" ht="12" customHeight="1">
      <c r="A50" s="1"/>
      <c r="B50" s="1"/>
      <c r="C50" s="1"/>
      <c r="D50" s="1"/>
      <c r="E50" s="1"/>
      <c r="F50" s="1"/>
      <c r="G50" s="6"/>
      <c r="J50" s="17"/>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row>
    <row r="51" spans="1:49" ht="12" customHeight="1">
      <c r="A51" s="7" t="str">
        <f>IF($D$14="English","4.  Weighing / Linearity Test (Indicator in hi-res mode):","4. Prüfung der Richtigkeit mit Normallast (Indikator in Hi-Res-Modus):")</f>
        <v>4.  Weighing / Linearity Test (Indicator in hi-res mode):</v>
      </c>
      <c r="B51" s="1"/>
      <c r="C51" s="6"/>
      <c r="D51" s="8"/>
      <c r="E51" s="8"/>
      <c r="F51" s="1"/>
      <c r="G51" s="1"/>
      <c r="H51" s="1" t="str">
        <f>IF($D$14="English","accordance to EN45501-2015, A.4.4.1","gemäß EN45501-2015, A.4.4.1")</f>
        <v>accordance to EN45501-2015, A.4.4.1</v>
      </c>
      <c r="I51" s="1"/>
      <c r="J51" s="1"/>
      <c r="K51" s="1"/>
      <c r="L51" s="1"/>
      <c r="M51" s="6"/>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row>
    <row r="52" spans="1:49" ht="12" customHeight="1">
      <c r="A52" s="234" t="str">
        <f>IF($D$14="English","load must be about","ungefähre Last")</f>
        <v>load must be about</v>
      </c>
      <c r="B52" s="223"/>
      <c r="C52" s="220"/>
      <c r="D52" s="231" t="s">
        <v>26</v>
      </c>
      <c r="E52" s="223"/>
      <c r="F52" s="220"/>
      <c r="G52" s="231" t="s">
        <v>27</v>
      </c>
      <c r="H52" s="220"/>
      <c r="I52" s="231" t="s">
        <v>28</v>
      </c>
      <c r="J52" s="220"/>
      <c r="K52" s="231" t="s">
        <v>29</v>
      </c>
      <c r="L52" s="220"/>
      <c r="M52" s="37" t="s">
        <v>86</v>
      </c>
      <c r="N52" s="91"/>
      <c r="O52" s="92"/>
      <c r="P52" s="231" t="s">
        <v>30</v>
      </c>
      <c r="Q52" s="220"/>
      <c r="R52" s="7" t="s">
        <v>53</v>
      </c>
      <c r="S52" s="1"/>
      <c r="T52" s="1"/>
      <c r="U52" s="1"/>
      <c r="V52" s="1"/>
      <c r="W52" s="1" t="s">
        <v>54</v>
      </c>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row>
    <row r="53" spans="1:49" ht="12" customHeight="1">
      <c r="A53" s="19" t="s">
        <v>32</v>
      </c>
      <c r="B53" s="239" t="s">
        <v>33</v>
      </c>
      <c r="C53" s="220"/>
      <c r="D53" s="19" t="s">
        <v>32</v>
      </c>
      <c r="E53" s="239" t="s">
        <v>33</v>
      </c>
      <c r="F53" s="220"/>
      <c r="G53" s="231" t="s">
        <v>33</v>
      </c>
      <c r="H53" s="220"/>
      <c r="I53" s="231" t="s">
        <v>33</v>
      </c>
      <c r="J53" s="223"/>
      <c r="K53" s="19" t="s">
        <v>33</v>
      </c>
      <c r="L53" s="21" t="s">
        <v>32</v>
      </c>
      <c r="M53" s="231" t="s">
        <v>33</v>
      </c>
      <c r="N53" s="223"/>
      <c r="O53" s="220"/>
      <c r="P53" s="231" t="s">
        <v>34</v>
      </c>
      <c r="Q53" s="220"/>
      <c r="R53" s="7" t="s">
        <v>55</v>
      </c>
      <c r="S53" s="1"/>
      <c r="T53" s="1"/>
      <c r="U53" s="1"/>
      <c r="V53" s="1"/>
      <c r="W53" s="1"/>
      <c r="X53" s="1"/>
      <c r="Y53" s="1"/>
      <c r="Z53" s="1"/>
      <c r="AA53" s="1"/>
      <c r="AB53" s="1"/>
      <c r="AC53" s="23" t="s">
        <v>2</v>
      </c>
      <c r="AD53" s="1"/>
      <c r="AE53" s="1"/>
      <c r="AF53" s="1"/>
      <c r="AG53" s="1"/>
      <c r="AH53" s="1"/>
      <c r="AI53" s="1"/>
      <c r="AJ53" s="1"/>
      <c r="AK53" s="1"/>
      <c r="AL53" s="1"/>
      <c r="AM53" s="1"/>
      <c r="AN53" s="1"/>
      <c r="AO53" s="1"/>
      <c r="AP53" s="1"/>
      <c r="AQ53" s="1"/>
      <c r="AR53" s="1"/>
      <c r="AS53" s="1"/>
      <c r="AT53" s="1"/>
      <c r="AU53" s="1"/>
      <c r="AV53" s="1"/>
      <c r="AW53" s="1"/>
    </row>
    <row r="54" spans="1:49" ht="12" customHeight="1">
      <c r="A54" s="38">
        <v>20</v>
      </c>
      <c r="B54" s="267">
        <f>A54*$D$11</f>
        <v>0</v>
      </c>
      <c r="C54" s="220"/>
      <c r="D54" s="38" t="str">
        <f t="shared" ref="D54:D56" si="15">IF(E54=0," ",E54/$D$11)</f>
        <v xml:space="preserve"> </v>
      </c>
      <c r="E54" s="271"/>
      <c r="F54" s="216"/>
      <c r="G54" s="269"/>
      <c r="H54" s="216"/>
      <c r="I54" s="270" t="str">
        <f t="shared" ref="I54:I59" si="16">IF(G54=0," ",(G54-E54))</f>
        <v xml:space="preserve"> </v>
      </c>
      <c r="J54" s="220"/>
      <c r="K54" s="82">
        <f t="shared" ref="K54:K55" si="17">L54*$D$11</f>
        <v>0</v>
      </c>
      <c r="L54" s="26">
        <f t="shared" ref="L54:L68" si="18">IF(D54="-"," ",IF(D54&lt;=500,0.5,(IF(D54&lt;=2000,1,IF(D54&gt;2000,1.5," ")))))</f>
        <v>1.5</v>
      </c>
      <c r="M54" s="270" t="str">
        <f t="shared" ref="M54:M56" si="19">IF(E54=0," ",IF($E$39=" "," ",I54-$E$39))</f>
        <v xml:space="preserve"> </v>
      </c>
      <c r="N54" s="223"/>
      <c r="O54" s="220"/>
      <c r="P54" s="222" t="str">
        <f t="shared" ref="P54:P68" si="20">IF(M54=" "," ",IF(ABS(M54)&lt;=K54,"Y","N"))</f>
        <v xml:space="preserve"> </v>
      </c>
      <c r="Q54" s="220"/>
      <c r="R54" s="1"/>
      <c r="S54" s="1"/>
      <c r="T54" s="1"/>
      <c r="U54" s="1"/>
      <c r="V54" s="1"/>
      <c r="W54" s="1" t="s">
        <v>56</v>
      </c>
      <c r="X54" s="1"/>
      <c r="Y54" s="1"/>
      <c r="Z54" s="1"/>
      <c r="AA54" s="1"/>
      <c r="AB54" s="39" t="e">
        <f t="shared" ref="AB54:AB61" si="21">IF(AND(E54&lt;=$D$9,ABS(M54)&lt;=0.5*$D$11),1,IF(AND(E54&gt;$D$9,ABS(M54)&lt;=0.5*$D$12),1,2))</f>
        <v>#VALUE!</v>
      </c>
      <c r="AC54" s="1"/>
      <c r="AD54" s="1"/>
      <c r="AE54" s="1"/>
      <c r="AF54" s="1"/>
      <c r="AG54" s="1"/>
      <c r="AH54" s="1"/>
      <c r="AI54" s="1"/>
      <c r="AJ54" s="1"/>
      <c r="AK54" s="1"/>
      <c r="AL54" s="1"/>
      <c r="AM54" s="1"/>
      <c r="AN54" s="1"/>
      <c r="AO54" s="1"/>
      <c r="AP54" s="1"/>
      <c r="AQ54" s="1"/>
      <c r="AR54" s="1"/>
      <c r="AS54" s="1"/>
      <c r="AT54" s="1"/>
      <c r="AU54" s="1"/>
      <c r="AV54" s="1"/>
      <c r="AW54" s="1"/>
    </row>
    <row r="55" spans="1:49" ht="12" customHeight="1">
      <c r="A55" s="24" t="str">
        <f>IF($D$11=0,"-",IF($D$9/$D$11&lt;=500,100,IF($D$9/$D$11&lt;=1000,100,IF($D$9/$D$11&lt;=2000,200,500))))</f>
        <v>-</v>
      </c>
      <c r="B55" s="267" t="str">
        <f t="shared" ref="B55:B57" si="22">IF($D$11=0," ",A55*$D$11)</f>
        <v xml:space="preserve"> </v>
      </c>
      <c r="C55" s="220"/>
      <c r="D55" s="38" t="str">
        <f t="shared" si="15"/>
        <v xml:space="preserve"> </v>
      </c>
      <c r="E55" s="271"/>
      <c r="F55" s="216"/>
      <c r="G55" s="269"/>
      <c r="H55" s="216"/>
      <c r="I55" s="270" t="str">
        <f t="shared" si="16"/>
        <v xml:space="preserve"> </v>
      </c>
      <c r="J55" s="220"/>
      <c r="K55" s="82">
        <f t="shared" si="17"/>
        <v>0</v>
      </c>
      <c r="L55" s="26">
        <f t="shared" si="18"/>
        <v>1.5</v>
      </c>
      <c r="M55" s="270" t="str">
        <f t="shared" si="19"/>
        <v xml:space="preserve"> </v>
      </c>
      <c r="N55" s="223"/>
      <c r="O55" s="220"/>
      <c r="P55" s="222" t="str">
        <f t="shared" si="20"/>
        <v xml:space="preserve"> </v>
      </c>
      <c r="Q55" s="220"/>
      <c r="R55" s="7" t="s">
        <v>57</v>
      </c>
      <c r="S55" s="31"/>
      <c r="T55" s="32"/>
      <c r="U55" s="1"/>
      <c r="V55" s="1"/>
      <c r="W55" s="1"/>
      <c r="X55" s="6"/>
      <c r="Y55" s="1"/>
      <c r="Z55" s="1"/>
      <c r="AA55" s="1"/>
      <c r="AB55" s="39" t="e">
        <f t="shared" si="21"/>
        <v>#VALUE!</v>
      </c>
      <c r="AC55" s="1" t="s">
        <v>0</v>
      </c>
      <c r="AD55" s="1"/>
      <c r="AE55" s="1"/>
      <c r="AF55" s="1"/>
      <c r="AG55" s="1"/>
      <c r="AH55" s="1"/>
      <c r="AI55" s="1"/>
      <c r="AJ55" s="1"/>
      <c r="AK55" s="1"/>
      <c r="AL55" s="1"/>
      <c r="AM55" s="1"/>
      <c r="AN55" s="1"/>
      <c r="AO55" s="1"/>
      <c r="AP55" s="1"/>
      <c r="AQ55" s="1"/>
      <c r="AR55" s="1"/>
      <c r="AS55" s="1"/>
      <c r="AT55" s="1"/>
      <c r="AU55" s="1"/>
      <c r="AV55" s="1"/>
      <c r="AW55" s="1"/>
    </row>
    <row r="56" spans="1:49" ht="12" customHeight="1">
      <c r="A56" s="24" t="str">
        <f>IF($D$11=0,"-",IF($D$9/$D$11&lt;=500,200,IF($D$9/$D$11&lt;=1000,200,IF($D$9/$D$11&lt;=2000,500,1000))))</f>
        <v>-</v>
      </c>
      <c r="B56" s="267" t="str">
        <f t="shared" si="22"/>
        <v xml:space="preserve"> </v>
      </c>
      <c r="C56" s="220"/>
      <c r="D56" s="38" t="str">
        <f t="shared" si="15"/>
        <v xml:space="preserve"> </v>
      </c>
      <c r="E56" s="271"/>
      <c r="F56" s="216"/>
      <c r="G56" s="269"/>
      <c r="H56" s="216"/>
      <c r="I56" s="270" t="str">
        <f t="shared" si="16"/>
        <v xml:space="preserve"> </v>
      </c>
      <c r="J56" s="220"/>
      <c r="K56" s="82">
        <f t="shared" ref="K56:K57" si="23">IF(D56="-",0,L56*$D$11)</f>
        <v>0</v>
      </c>
      <c r="L56" s="26">
        <f t="shared" si="18"/>
        <v>1.5</v>
      </c>
      <c r="M56" s="270" t="str">
        <f t="shared" si="19"/>
        <v xml:space="preserve"> </v>
      </c>
      <c r="N56" s="223"/>
      <c r="O56" s="220"/>
      <c r="P56" s="222" t="str">
        <f t="shared" si="20"/>
        <v xml:space="preserve"> </v>
      </c>
      <c r="Q56" s="220"/>
      <c r="R56" s="7" t="s">
        <v>58</v>
      </c>
      <c r="S56" s="31"/>
      <c r="T56" s="32"/>
      <c r="U56" s="1"/>
      <c r="V56" s="1"/>
      <c r="W56" s="1"/>
      <c r="X56" s="6"/>
      <c r="Y56" s="1"/>
      <c r="AA56" s="1"/>
      <c r="AB56" s="39" t="e">
        <f t="shared" si="21"/>
        <v>#VALUE!</v>
      </c>
      <c r="AC56" s="23" t="s">
        <v>2</v>
      </c>
      <c r="AD56" s="1"/>
      <c r="AE56" s="1"/>
      <c r="AF56" s="1"/>
      <c r="AG56" s="1"/>
      <c r="AH56" s="1"/>
      <c r="AI56" s="1"/>
      <c r="AJ56" s="1"/>
      <c r="AK56" s="1"/>
      <c r="AL56" s="1"/>
      <c r="AM56" s="1"/>
      <c r="AN56" s="1"/>
      <c r="AO56" s="1"/>
      <c r="AP56" s="1"/>
      <c r="AQ56" s="1"/>
      <c r="AR56" s="1"/>
      <c r="AS56" s="1"/>
      <c r="AT56" s="1"/>
      <c r="AU56" s="1"/>
      <c r="AV56" s="1"/>
      <c r="AW56" s="1"/>
    </row>
    <row r="57" spans="1:49" ht="12" customHeight="1">
      <c r="A57" s="24" t="str">
        <f>IF($D$11=0,"-",IF($D$9/$D$11&lt;=500,300,IF($D$9/$D$11&lt;=1000,500,IF($D$9/$D$11&lt;=2000,1000,2000))))</f>
        <v>-</v>
      </c>
      <c r="B57" s="267" t="str">
        <f t="shared" si="22"/>
        <v xml:space="preserve"> </v>
      </c>
      <c r="C57" s="220"/>
      <c r="D57" s="38" t="str">
        <f t="shared" ref="D57:D61" si="24">IF(E57=0," ",IF(E57&lt;$D$9,E57/$D$11,E57/$D$12))</f>
        <v xml:space="preserve"> </v>
      </c>
      <c r="E57" s="271"/>
      <c r="F57" s="216"/>
      <c r="G57" s="269"/>
      <c r="H57" s="216"/>
      <c r="I57" s="270" t="str">
        <f t="shared" si="16"/>
        <v xml:space="preserve"> </v>
      </c>
      <c r="J57" s="220"/>
      <c r="K57" s="82">
        <f t="shared" si="23"/>
        <v>0</v>
      </c>
      <c r="L57" s="26">
        <f t="shared" si="18"/>
        <v>1.5</v>
      </c>
      <c r="M57" s="270" t="str">
        <f t="shared" ref="M57:M63" si="25">IF(E57=0," ",IF($E$39=" "," ",ROUND(I57-$E$39,2)))</f>
        <v xml:space="preserve"> </v>
      </c>
      <c r="N57" s="223"/>
      <c r="O57" s="220"/>
      <c r="P57" s="222" t="str">
        <f t="shared" si="20"/>
        <v xml:space="preserve"> </v>
      </c>
      <c r="Q57" s="220"/>
      <c r="R57" s="1"/>
      <c r="S57" s="31"/>
      <c r="T57" s="32"/>
      <c r="U57" s="1"/>
      <c r="V57" s="1"/>
      <c r="W57" s="1" t="s">
        <v>59</v>
      </c>
      <c r="X57" s="6"/>
      <c r="Y57" s="1"/>
      <c r="Z57" s="1"/>
      <c r="AA57" s="1"/>
      <c r="AB57" s="39" t="e">
        <f t="shared" si="21"/>
        <v>#VALUE!</v>
      </c>
      <c r="AC57" s="1"/>
      <c r="AD57" s="1"/>
      <c r="AE57" s="1"/>
      <c r="AF57" s="1"/>
      <c r="AG57" s="1"/>
      <c r="AH57" s="1"/>
      <c r="AI57" s="1"/>
      <c r="AJ57" s="8"/>
      <c r="AK57" s="1"/>
      <c r="AL57" s="1"/>
      <c r="AM57" s="1"/>
      <c r="AN57" s="1"/>
      <c r="AO57" s="1"/>
      <c r="AP57" s="1"/>
      <c r="AQ57" s="1"/>
      <c r="AR57" s="1"/>
      <c r="AS57" s="1"/>
      <c r="AT57" s="1"/>
      <c r="AU57" s="1"/>
      <c r="AV57" s="1"/>
      <c r="AW57" s="1"/>
    </row>
    <row r="58" spans="1:49" ht="12" customHeight="1">
      <c r="A58" s="24">
        <f>IF($D$12=0,0,IF(B58&lt;$D$9,B58/$D$11,B58/$D$12))</f>
        <v>0</v>
      </c>
      <c r="B58" s="267" t="str">
        <f>IF($D$12=0," ",$D$9-$D$12)</f>
        <v xml:space="preserve"> </v>
      </c>
      <c r="C58" s="220"/>
      <c r="D58" s="38" t="str">
        <f t="shared" si="24"/>
        <v xml:space="preserve"> </v>
      </c>
      <c r="E58" s="271"/>
      <c r="F58" s="216"/>
      <c r="G58" s="269"/>
      <c r="H58" s="216"/>
      <c r="I58" s="270" t="str">
        <f t="shared" si="16"/>
        <v xml:space="preserve"> </v>
      </c>
      <c r="J58" s="220"/>
      <c r="K58" s="82">
        <f t="shared" ref="K58:K62" si="26">IF(D58="-",0,IF(E58&lt;$D$9,L58*$D$11,L58*$D$12))</f>
        <v>0</v>
      </c>
      <c r="L58" s="26">
        <f t="shared" si="18"/>
        <v>1.5</v>
      </c>
      <c r="M58" s="270" t="str">
        <f t="shared" si="25"/>
        <v xml:space="preserve"> </v>
      </c>
      <c r="N58" s="223"/>
      <c r="O58" s="220"/>
      <c r="P58" s="222" t="str">
        <f t="shared" si="20"/>
        <v xml:space="preserve"> </v>
      </c>
      <c r="Q58" s="220"/>
      <c r="R58" s="1"/>
      <c r="S58" s="1"/>
      <c r="T58" s="1"/>
      <c r="U58" s="1"/>
      <c r="V58" s="1"/>
      <c r="W58" s="1"/>
      <c r="X58" s="1"/>
      <c r="Y58" s="1"/>
      <c r="AA58" s="1"/>
      <c r="AB58" s="39" t="e">
        <f t="shared" si="21"/>
        <v>#VALUE!</v>
      </c>
      <c r="AC58" s="1"/>
      <c r="AD58" s="8"/>
      <c r="AE58" s="8"/>
      <c r="AF58" s="8"/>
      <c r="AG58" s="8"/>
      <c r="AH58" s="8"/>
      <c r="AI58" s="8"/>
      <c r="AJ58" s="1"/>
      <c r="AK58" s="1"/>
      <c r="AL58" s="1"/>
      <c r="AM58" s="1"/>
      <c r="AN58" s="1"/>
      <c r="AO58" s="1"/>
      <c r="AP58" s="1"/>
      <c r="AQ58" s="1"/>
      <c r="AR58" s="1"/>
      <c r="AS58" s="1"/>
      <c r="AT58" s="1"/>
      <c r="AU58" s="1"/>
      <c r="AV58" s="1"/>
      <c r="AW58" s="1"/>
    </row>
    <row r="59" spans="1:49" ht="12" customHeight="1">
      <c r="A59" s="170"/>
      <c r="B59" s="267" t="str">
        <f t="shared" ref="B59:B60" si="27">IF(A59=0," ",A59*$D$12)</f>
        <v xml:space="preserve"> </v>
      </c>
      <c r="C59" s="220"/>
      <c r="D59" s="38" t="str">
        <f t="shared" si="24"/>
        <v xml:space="preserve"> </v>
      </c>
      <c r="E59" s="271"/>
      <c r="F59" s="216"/>
      <c r="G59" s="269"/>
      <c r="H59" s="216"/>
      <c r="I59" s="270" t="str">
        <f t="shared" si="16"/>
        <v xml:space="preserve"> </v>
      </c>
      <c r="J59" s="220"/>
      <c r="K59" s="82">
        <f t="shared" si="26"/>
        <v>0</v>
      </c>
      <c r="L59" s="26">
        <f t="shared" si="18"/>
        <v>1.5</v>
      </c>
      <c r="M59" s="270" t="str">
        <f t="shared" si="25"/>
        <v xml:space="preserve"> </v>
      </c>
      <c r="N59" s="223"/>
      <c r="O59" s="220"/>
      <c r="P59" s="222" t="str">
        <f t="shared" si="20"/>
        <v xml:space="preserve"> </v>
      </c>
      <c r="Q59" s="220"/>
      <c r="R59" s="7" t="s">
        <v>60</v>
      </c>
      <c r="S59" s="28"/>
      <c r="T59" s="40"/>
      <c r="U59" s="41"/>
      <c r="V59" s="42"/>
      <c r="W59" s="1" t="s">
        <v>61</v>
      </c>
      <c r="X59" s="43"/>
      <c r="Y59" s="1"/>
      <c r="AA59" s="1"/>
      <c r="AB59" s="39" t="e">
        <f t="shared" si="21"/>
        <v>#VALUE!</v>
      </c>
      <c r="AC59" s="1" t="s">
        <v>0</v>
      </c>
      <c r="AD59" s="44"/>
      <c r="AE59" s="44"/>
      <c r="AF59" s="44"/>
      <c r="AG59" s="44"/>
      <c r="AH59" s="44"/>
      <c r="AI59" s="44"/>
      <c r="AJ59" s="1"/>
      <c r="AK59" s="1"/>
      <c r="AL59" s="1"/>
      <c r="AM59" s="1"/>
      <c r="AN59" s="1"/>
      <c r="AO59" s="1"/>
      <c r="AP59" s="1"/>
      <c r="AQ59" s="1"/>
      <c r="AR59" s="1"/>
      <c r="AS59" s="1"/>
      <c r="AT59" s="1"/>
      <c r="AU59" s="1"/>
      <c r="AV59" s="1"/>
      <c r="AW59" s="1"/>
    </row>
    <row r="60" spans="1:49" ht="12" customHeight="1">
      <c r="A60" s="170"/>
      <c r="B60" s="267" t="str">
        <f t="shared" si="27"/>
        <v xml:space="preserve"> </v>
      </c>
      <c r="C60" s="220"/>
      <c r="D60" s="38" t="str">
        <f t="shared" si="24"/>
        <v xml:space="preserve"> </v>
      </c>
      <c r="E60" s="271"/>
      <c r="F60" s="216"/>
      <c r="G60" s="269"/>
      <c r="H60" s="216"/>
      <c r="I60" s="270" t="str">
        <f>IF(G60=0," ",ROUND((G60-E60),4))</f>
        <v xml:space="preserve"> </v>
      </c>
      <c r="J60" s="220"/>
      <c r="K60" s="82">
        <f t="shared" si="26"/>
        <v>0</v>
      </c>
      <c r="L60" s="26">
        <f t="shared" si="18"/>
        <v>1.5</v>
      </c>
      <c r="M60" s="270" t="str">
        <f t="shared" si="25"/>
        <v xml:space="preserve"> </v>
      </c>
      <c r="N60" s="223"/>
      <c r="O60" s="220"/>
      <c r="P60" s="222" t="str">
        <f t="shared" si="20"/>
        <v xml:space="preserve"> </v>
      </c>
      <c r="Q60" s="220"/>
      <c r="R60" s="1" t="s">
        <v>62</v>
      </c>
      <c r="S60" s="1"/>
      <c r="T60" s="1"/>
      <c r="U60" s="1"/>
      <c r="V60" s="1"/>
      <c r="W60" s="1"/>
      <c r="X60" s="1"/>
      <c r="Y60" s="1"/>
      <c r="Z60" s="1"/>
      <c r="AA60" s="1"/>
      <c r="AB60" s="39" t="e">
        <f t="shared" si="21"/>
        <v>#VALUE!</v>
      </c>
      <c r="AC60" s="1"/>
      <c r="AD60" s="1"/>
      <c r="AE60" s="1"/>
      <c r="AF60" s="1"/>
      <c r="AG60" s="1"/>
      <c r="AH60" s="1"/>
      <c r="AI60" s="1"/>
      <c r="AJ60" s="1"/>
      <c r="AK60" s="1"/>
      <c r="AL60" s="1"/>
      <c r="AM60" s="1"/>
      <c r="AN60" s="1"/>
      <c r="AO60" s="1"/>
      <c r="AP60" s="1"/>
      <c r="AQ60" s="1"/>
      <c r="AR60" s="1"/>
      <c r="AS60" s="1"/>
      <c r="AT60" s="1"/>
      <c r="AU60" s="1"/>
      <c r="AV60" s="1"/>
      <c r="AW60" s="1"/>
    </row>
    <row r="61" spans="1:49" ht="12" customHeight="1">
      <c r="A61" s="24">
        <f>IF($D$12=0,0,IF($D$10/$D$12&lt;=A60,"-",$D$10/$D$12))</f>
        <v>0</v>
      </c>
      <c r="B61" s="267" t="str">
        <f>IF($D$12=0," ",A61*$D$12)</f>
        <v xml:space="preserve"> </v>
      </c>
      <c r="C61" s="220"/>
      <c r="D61" s="38" t="str">
        <f t="shared" si="24"/>
        <v xml:space="preserve"> </v>
      </c>
      <c r="E61" s="271"/>
      <c r="F61" s="216"/>
      <c r="G61" s="269"/>
      <c r="H61" s="216"/>
      <c r="I61" s="270" t="str">
        <f>IF(G61=0," ",(G61-E61))</f>
        <v xml:space="preserve"> </v>
      </c>
      <c r="J61" s="220"/>
      <c r="K61" s="82">
        <f t="shared" si="26"/>
        <v>0</v>
      </c>
      <c r="L61" s="26">
        <f t="shared" si="18"/>
        <v>1.5</v>
      </c>
      <c r="M61" s="270" t="str">
        <f t="shared" si="25"/>
        <v xml:space="preserve"> </v>
      </c>
      <c r="N61" s="223"/>
      <c r="O61" s="220"/>
      <c r="P61" s="222" t="str">
        <f t="shared" si="20"/>
        <v xml:space="preserve"> </v>
      </c>
      <c r="Q61" s="220"/>
      <c r="R61" s="7" t="s">
        <v>63</v>
      </c>
      <c r="S61" s="28"/>
      <c r="T61" s="40"/>
      <c r="U61" s="41"/>
      <c r="V61" s="42"/>
      <c r="W61" s="43"/>
      <c r="X61" s="43"/>
      <c r="Y61" s="1"/>
      <c r="Z61" s="1"/>
      <c r="AA61" s="1"/>
      <c r="AB61" s="39" t="e">
        <f t="shared" si="21"/>
        <v>#VALUE!</v>
      </c>
      <c r="AC61" s="23" t="s">
        <v>2</v>
      </c>
      <c r="AD61" s="1"/>
      <c r="AE61" s="1"/>
      <c r="AF61" s="1"/>
      <c r="AG61" s="1"/>
      <c r="AH61" s="1"/>
      <c r="AI61" s="1"/>
      <c r="AJ61" s="1"/>
      <c r="AK61" s="1"/>
      <c r="AL61" s="1"/>
      <c r="AM61" s="1"/>
      <c r="AN61" s="1"/>
      <c r="AO61" s="1"/>
      <c r="AP61" s="1"/>
      <c r="AQ61" s="1"/>
      <c r="AR61" s="1"/>
      <c r="AS61" s="1"/>
      <c r="AT61" s="1"/>
      <c r="AU61" s="1"/>
      <c r="AV61" s="1"/>
      <c r="AW61" s="1"/>
    </row>
    <row r="62" spans="1:49" ht="12" customHeight="1">
      <c r="A62" s="24">
        <f>A60</f>
        <v>0</v>
      </c>
      <c r="B62" s="268" t="str">
        <f t="shared" ref="B62:B63" si="28">IF($D$10=0," ",A62*$D$12)</f>
        <v xml:space="preserve"> </v>
      </c>
      <c r="C62" s="220"/>
      <c r="D62" s="38" t="str">
        <f t="shared" ref="D62:D68" si="29">IF(E62=0," ",E62/$D$12)</f>
        <v xml:space="preserve"> </v>
      </c>
      <c r="E62" s="268">
        <f>E60</f>
        <v>0</v>
      </c>
      <c r="F62" s="220"/>
      <c r="G62" s="269"/>
      <c r="H62" s="216"/>
      <c r="I62" s="270" t="str">
        <f>IF(G62=0," ",ROUND((G62-E62),4))</f>
        <v xml:space="preserve"> </v>
      </c>
      <c r="J62" s="220"/>
      <c r="K62" s="82">
        <f t="shared" si="26"/>
        <v>0</v>
      </c>
      <c r="L62" s="26">
        <f t="shared" si="18"/>
        <v>1.5</v>
      </c>
      <c r="M62" s="270" t="str">
        <f t="shared" si="25"/>
        <v xml:space="preserve"> </v>
      </c>
      <c r="N62" s="223"/>
      <c r="O62" s="220"/>
      <c r="P62" s="222" t="str">
        <f t="shared" si="20"/>
        <v xml:space="preserve"> </v>
      </c>
      <c r="Q62" s="220"/>
      <c r="R62" s="1" t="s">
        <v>64</v>
      </c>
      <c r="S62" s="1"/>
      <c r="T62" s="1"/>
      <c r="U62" s="1"/>
      <c r="V62" s="1"/>
      <c r="W62" s="1"/>
      <c r="X62" s="1" t="s">
        <v>65</v>
      </c>
      <c r="Y62" s="1"/>
      <c r="Z62" s="1"/>
      <c r="AA62" s="1"/>
      <c r="AB62" s="39" t="e">
        <f t="shared" ref="AB62:AB68" si="30">IF(ABS(M62)&lt;=0.5*$D$12,1,2)</f>
        <v>#VALUE!</v>
      </c>
      <c r="AC62" s="1"/>
      <c r="AD62" s="8"/>
      <c r="AE62" s="8"/>
      <c r="AF62" s="8"/>
      <c r="AG62" s="8"/>
      <c r="AH62" s="8"/>
      <c r="AI62" s="1"/>
      <c r="AJ62" s="1"/>
      <c r="AK62" s="1"/>
      <c r="AL62" s="1"/>
      <c r="AM62" s="1"/>
      <c r="AN62" s="1"/>
      <c r="AO62" s="1"/>
      <c r="AP62" s="1"/>
      <c r="AQ62" s="1"/>
      <c r="AR62" s="1"/>
      <c r="AS62" s="1"/>
      <c r="AT62" s="1"/>
      <c r="AU62" s="1"/>
      <c r="AV62" s="1"/>
      <c r="AW62" s="1"/>
    </row>
    <row r="63" spans="1:49" ht="12" customHeight="1">
      <c r="A63" s="24">
        <f>A59</f>
        <v>0</v>
      </c>
      <c r="B63" s="267" t="str">
        <f t="shared" si="28"/>
        <v xml:space="preserve"> </v>
      </c>
      <c r="C63" s="220"/>
      <c r="D63" s="38" t="str">
        <f t="shared" si="29"/>
        <v xml:space="preserve"> </v>
      </c>
      <c r="E63" s="268">
        <f>E59</f>
        <v>0</v>
      </c>
      <c r="F63" s="220"/>
      <c r="G63" s="269"/>
      <c r="H63" s="216"/>
      <c r="I63" s="270" t="str">
        <f t="shared" ref="I63:I66" si="31">IF(G63=0," ",(G63-E63))</f>
        <v xml:space="preserve"> </v>
      </c>
      <c r="J63" s="220"/>
      <c r="K63" s="82">
        <f t="shared" ref="K63:K68" si="32">IF(D63="-",0,L63*$D$12)</f>
        <v>0</v>
      </c>
      <c r="L63" s="26">
        <f t="shared" si="18"/>
        <v>1.5</v>
      </c>
      <c r="M63" s="270" t="str">
        <f t="shared" si="25"/>
        <v xml:space="preserve"> </v>
      </c>
      <c r="N63" s="223"/>
      <c r="O63" s="220"/>
      <c r="P63" s="222" t="str">
        <f t="shared" si="20"/>
        <v xml:space="preserve"> </v>
      </c>
      <c r="Q63" s="220"/>
      <c r="R63" s="1" t="s">
        <v>66</v>
      </c>
      <c r="S63" s="23"/>
      <c r="T63" s="23"/>
      <c r="U63" s="23"/>
      <c r="V63" s="23"/>
      <c r="W63" s="23"/>
      <c r="X63" s="23"/>
      <c r="Y63" s="23"/>
      <c r="Z63" s="23"/>
      <c r="AA63" s="1"/>
      <c r="AB63" s="39" t="e">
        <f t="shared" si="30"/>
        <v>#VALUE!</v>
      </c>
      <c r="AC63" s="1"/>
      <c r="AD63" s="44"/>
      <c r="AE63" s="44"/>
      <c r="AF63" s="44"/>
      <c r="AG63" s="44"/>
      <c r="AH63" s="44"/>
      <c r="AI63" s="1"/>
      <c r="AJ63" s="1"/>
      <c r="AK63" s="1"/>
      <c r="AL63" s="1"/>
      <c r="AM63" s="1"/>
      <c r="AN63" s="1"/>
      <c r="AO63" s="1"/>
      <c r="AP63" s="1"/>
      <c r="AQ63" s="1"/>
      <c r="AR63" s="1"/>
      <c r="AS63" s="1"/>
      <c r="AT63" s="1"/>
      <c r="AU63" s="1"/>
      <c r="AV63" s="1"/>
      <c r="AW63" s="1"/>
    </row>
    <row r="64" spans="1:49" ht="12" customHeight="1">
      <c r="A64" s="24" t="str">
        <f t="shared" ref="A64:A68" si="33">IF($D$11=0,"-",B64/$D$12)</f>
        <v>-</v>
      </c>
      <c r="B64" s="267" t="str">
        <f>IF($D$11=0," ",B58)</f>
        <v xml:space="preserve"> </v>
      </c>
      <c r="C64" s="220"/>
      <c r="D64" s="38" t="str">
        <f t="shared" si="29"/>
        <v xml:space="preserve"> </v>
      </c>
      <c r="E64" s="268">
        <f>E58</f>
        <v>0</v>
      </c>
      <c r="F64" s="220"/>
      <c r="G64" s="269"/>
      <c r="H64" s="216"/>
      <c r="I64" s="270" t="str">
        <f t="shared" si="31"/>
        <v xml:space="preserve"> </v>
      </c>
      <c r="J64" s="220"/>
      <c r="K64" s="82">
        <f t="shared" si="32"/>
        <v>0</v>
      </c>
      <c r="L64" s="26">
        <f t="shared" si="18"/>
        <v>1.5</v>
      </c>
      <c r="M64" s="270" t="str">
        <f t="shared" ref="M64:M65" si="34">IF(E64=0," ",IF($E$39=" "," ",I64-$E$39))</f>
        <v xml:space="preserve"> </v>
      </c>
      <c r="N64" s="223"/>
      <c r="O64" s="220"/>
      <c r="P64" s="222" t="str">
        <f t="shared" si="20"/>
        <v xml:space="preserve"> </v>
      </c>
      <c r="Q64" s="220"/>
      <c r="R64" s="45" t="s">
        <v>67</v>
      </c>
      <c r="S64" s="1"/>
      <c r="T64" s="1"/>
      <c r="U64" s="1"/>
      <c r="V64" s="1"/>
      <c r="W64" s="1"/>
      <c r="X64" s="1"/>
      <c r="Y64" s="1"/>
      <c r="Z64" s="1"/>
      <c r="AA64" s="1"/>
      <c r="AB64" s="39" t="e">
        <f t="shared" si="30"/>
        <v>#VALUE!</v>
      </c>
      <c r="AC64" s="1" t="s">
        <v>0</v>
      </c>
      <c r="AD64" s="1"/>
      <c r="AE64" s="1"/>
      <c r="AF64" s="1"/>
      <c r="AG64" s="1"/>
      <c r="AH64" s="1"/>
      <c r="AI64" s="1"/>
      <c r="AJ64" s="1"/>
      <c r="AK64" s="1"/>
      <c r="AL64" s="1"/>
      <c r="AM64" s="1"/>
      <c r="AN64" s="1"/>
      <c r="AO64" s="1"/>
      <c r="AP64" s="1"/>
      <c r="AQ64" s="1"/>
      <c r="AR64" s="1"/>
      <c r="AS64" s="1"/>
      <c r="AT64" s="1"/>
      <c r="AU64" s="1"/>
      <c r="AV64" s="1"/>
      <c r="AW64" s="1"/>
    </row>
    <row r="65" spans="1:49" ht="12" customHeight="1">
      <c r="A65" s="24" t="str">
        <f t="shared" si="33"/>
        <v>-</v>
      </c>
      <c r="B65" s="267" t="str">
        <f>IF($D$11=0," ",B57)</f>
        <v xml:space="preserve"> </v>
      </c>
      <c r="C65" s="220"/>
      <c r="D65" s="38" t="str">
        <f t="shared" si="29"/>
        <v xml:space="preserve"> </v>
      </c>
      <c r="E65" s="268">
        <f>E57</f>
        <v>0</v>
      </c>
      <c r="F65" s="220"/>
      <c r="G65" s="269"/>
      <c r="H65" s="216"/>
      <c r="I65" s="270" t="str">
        <f t="shared" si="31"/>
        <v xml:space="preserve"> </v>
      </c>
      <c r="J65" s="220"/>
      <c r="K65" s="82">
        <f t="shared" si="32"/>
        <v>0</v>
      </c>
      <c r="L65" s="26">
        <f t="shared" si="18"/>
        <v>1.5</v>
      </c>
      <c r="M65" s="270" t="str">
        <f t="shared" si="34"/>
        <v xml:space="preserve"> </v>
      </c>
      <c r="N65" s="223"/>
      <c r="O65" s="220"/>
      <c r="P65" s="222" t="str">
        <f t="shared" si="20"/>
        <v xml:space="preserve"> </v>
      </c>
      <c r="Q65" s="220"/>
      <c r="R65" s="45" t="s">
        <v>68</v>
      </c>
      <c r="S65" s="1"/>
      <c r="T65" s="1"/>
      <c r="U65" s="1"/>
      <c r="V65" s="1"/>
      <c r="W65" s="1"/>
      <c r="X65" s="1"/>
      <c r="Y65" s="1"/>
      <c r="Z65" s="1"/>
      <c r="AA65" s="1"/>
      <c r="AB65" s="39" t="e">
        <f t="shared" si="30"/>
        <v>#VALUE!</v>
      </c>
      <c r="AC65" s="1"/>
      <c r="AD65" s="1"/>
      <c r="AE65" s="1"/>
      <c r="AF65" s="1"/>
      <c r="AG65" s="1"/>
      <c r="AH65" s="1"/>
      <c r="AI65" s="1"/>
      <c r="AJ65" s="1"/>
      <c r="AK65" s="1"/>
      <c r="AL65" s="1"/>
      <c r="AM65" s="1"/>
      <c r="AN65" s="1"/>
      <c r="AO65" s="1"/>
      <c r="AP65" s="1"/>
      <c r="AQ65" s="1"/>
      <c r="AR65" s="1"/>
      <c r="AS65" s="1"/>
      <c r="AT65" s="1"/>
      <c r="AU65" s="1"/>
      <c r="AV65" s="1"/>
      <c r="AW65" s="1"/>
    </row>
    <row r="66" spans="1:49" ht="12" customHeight="1">
      <c r="A66" s="24" t="str">
        <f t="shared" si="33"/>
        <v>-</v>
      </c>
      <c r="B66" s="267" t="str">
        <f>IF($D$11=0," ",B56)</f>
        <v xml:space="preserve"> </v>
      </c>
      <c r="C66" s="220"/>
      <c r="D66" s="38" t="str">
        <f t="shared" si="29"/>
        <v xml:space="preserve"> </v>
      </c>
      <c r="E66" s="268">
        <f>E56</f>
        <v>0</v>
      </c>
      <c r="F66" s="220"/>
      <c r="G66" s="269"/>
      <c r="H66" s="216"/>
      <c r="I66" s="270" t="str">
        <f t="shared" si="31"/>
        <v xml:space="preserve"> </v>
      </c>
      <c r="J66" s="220"/>
      <c r="K66" s="82">
        <f t="shared" si="32"/>
        <v>0</v>
      </c>
      <c r="L66" s="26">
        <f t="shared" si="18"/>
        <v>1.5</v>
      </c>
      <c r="M66" s="270" t="str">
        <f t="shared" ref="M66:M68" si="35">IF(E66=0," ",IF($E$39=" "," ",ROUND(I66-$E$39,2)))</f>
        <v xml:space="preserve"> </v>
      </c>
      <c r="N66" s="223"/>
      <c r="O66" s="220"/>
      <c r="P66" s="222" t="str">
        <f t="shared" si="20"/>
        <v xml:space="preserve"> </v>
      </c>
      <c r="Q66" s="220"/>
      <c r="R66" s="45" t="s">
        <v>69</v>
      </c>
      <c r="S66" s="1"/>
      <c r="T66" s="1"/>
      <c r="U66" s="1"/>
      <c r="V66" s="1"/>
      <c r="W66" s="1"/>
      <c r="X66" s="1"/>
      <c r="Y66" s="1"/>
      <c r="Z66" s="1"/>
      <c r="AA66" s="1"/>
      <c r="AB66" s="39" t="e">
        <f t="shared" si="30"/>
        <v>#VALUE!</v>
      </c>
      <c r="AC66" s="1"/>
      <c r="AD66" s="1"/>
      <c r="AE66" s="1"/>
      <c r="AF66" s="1"/>
      <c r="AG66" s="1"/>
      <c r="AH66" s="1"/>
      <c r="AI66" s="1"/>
      <c r="AJ66" s="1"/>
      <c r="AK66" s="1"/>
      <c r="AL66" s="1"/>
      <c r="AM66" s="1"/>
      <c r="AN66" s="1"/>
      <c r="AO66" s="1"/>
      <c r="AP66" s="1"/>
      <c r="AQ66" s="1"/>
      <c r="AR66" s="1"/>
      <c r="AS66" s="1"/>
      <c r="AT66" s="1"/>
      <c r="AU66" s="1"/>
      <c r="AV66" s="1"/>
      <c r="AW66" s="1"/>
    </row>
    <row r="67" spans="1:49" ht="12" customHeight="1">
      <c r="A67" s="24" t="str">
        <f t="shared" si="33"/>
        <v>-</v>
      </c>
      <c r="B67" s="267" t="str">
        <f>IF($D$11=0," ",B55)</f>
        <v xml:space="preserve"> </v>
      </c>
      <c r="C67" s="220"/>
      <c r="D67" s="38" t="str">
        <f t="shared" si="29"/>
        <v xml:space="preserve"> </v>
      </c>
      <c r="E67" s="268">
        <f>E55</f>
        <v>0</v>
      </c>
      <c r="F67" s="220"/>
      <c r="G67" s="269"/>
      <c r="H67" s="216"/>
      <c r="I67" s="270" t="str">
        <f>IF(G67=0," ",ROUND((G67-E67),4))</f>
        <v xml:space="preserve"> </v>
      </c>
      <c r="J67" s="220"/>
      <c r="K67" s="82">
        <f t="shared" si="32"/>
        <v>0</v>
      </c>
      <c r="L67" s="26">
        <f t="shared" si="18"/>
        <v>1.5</v>
      </c>
      <c r="M67" s="270" t="str">
        <f t="shared" si="35"/>
        <v xml:space="preserve"> </v>
      </c>
      <c r="N67" s="223"/>
      <c r="O67" s="220"/>
      <c r="P67" s="222" t="str">
        <f t="shared" si="20"/>
        <v xml:space="preserve"> </v>
      </c>
      <c r="Q67" s="220"/>
      <c r="R67" s="45" t="s">
        <v>70</v>
      </c>
      <c r="S67" s="46"/>
      <c r="T67" s="1"/>
      <c r="U67" s="1"/>
      <c r="V67" s="1"/>
      <c r="W67" s="1"/>
      <c r="X67" s="1"/>
      <c r="Y67" s="1"/>
      <c r="Z67" s="1"/>
      <c r="AA67" s="1"/>
      <c r="AB67" s="39" t="e">
        <f t="shared" si="30"/>
        <v>#VALUE!</v>
      </c>
      <c r="AC67" s="23" t="s">
        <v>2</v>
      </c>
      <c r="AD67" s="1"/>
      <c r="AE67" s="1"/>
      <c r="AF67" s="1"/>
      <c r="AG67" s="1"/>
      <c r="AH67" s="1"/>
      <c r="AI67" s="1"/>
      <c r="AJ67" s="1"/>
      <c r="AK67" s="1"/>
      <c r="AL67" s="1"/>
      <c r="AM67" s="1"/>
      <c r="AN67" s="1"/>
      <c r="AO67" s="1"/>
      <c r="AP67" s="1"/>
      <c r="AQ67" s="1"/>
      <c r="AR67" s="1"/>
      <c r="AS67" s="1"/>
      <c r="AT67" s="1"/>
      <c r="AU67" s="1"/>
      <c r="AV67" s="1"/>
      <c r="AW67" s="1"/>
    </row>
    <row r="68" spans="1:49" ht="12" customHeight="1">
      <c r="A68" s="24" t="str">
        <f t="shared" si="33"/>
        <v>-</v>
      </c>
      <c r="B68" s="267" t="str">
        <f>IF($D$11=0," ",B54)</f>
        <v xml:space="preserve"> </v>
      </c>
      <c r="C68" s="220"/>
      <c r="D68" s="38" t="str">
        <f t="shared" si="29"/>
        <v xml:space="preserve"> </v>
      </c>
      <c r="E68" s="268">
        <f>E54</f>
        <v>0</v>
      </c>
      <c r="F68" s="220"/>
      <c r="G68" s="269"/>
      <c r="H68" s="216"/>
      <c r="I68" s="270" t="str">
        <f>IF(G68=0," ",(G68-E68))</f>
        <v xml:space="preserve"> </v>
      </c>
      <c r="J68" s="220"/>
      <c r="K68" s="82">
        <f t="shared" si="32"/>
        <v>0</v>
      </c>
      <c r="L68" s="26">
        <f t="shared" si="18"/>
        <v>1.5</v>
      </c>
      <c r="M68" s="270" t="str">
        <f t="shared" si="35"/>
        <v xml:space="preserve"> </v>
      </c>
      <c r="N68" s="223"/>
      <c r="O68" s="220"/>
      <c r="P68" s="222" t="str">
        <f t="shared" si="20"/>
        <v xml:space="preserve"> </v>
      </c>
      <c r="Q68" s="220"/>
      <c r="R68" s="45" t="s">
        <v>71</v>
      </c>
      <c r="S68" s="46"/>
      <c r="T68" s="1"/>
      <c r="U68" s="1"/>
      <c r="V68" s="1"/>
      <c r="W68" s="1"/>
      <c r="X68" s="1"/>
      <c r="Y68" s="1"/>
      <c r="Z68" s="1"/>
      <c r="AA68" s="1"/>
      <c r="AB68" s="39" t="e">
        <f t="shared" si="30"/>
        <v>#VALUE!</v>
      </c>
      <c r="AC68" s="1"/>
      <c r="AD68" s="1"/>
      <c r="AE68" s="1"/>
      <c r="AF68" s="1"/>
      <c r="AG68" s="1"/>
      <c r="AH68" s="1"/>
      <c r="AI68" s="1"/>
      <c r="AJ68" s="1"/>
      <c r="AK68" s="1"/>
      <c r="AL68" s="1"/>
      <c r="AM68" s="1"/>
      <c r="AN68" s="1"/>
      <c r="AO68" s="1"/>
      <c r="AP68" s="1"/>
      <c r="AQ68" s="1"/>
      <c r="AR68" s="1"/>
      <c r="AS68" s="1"/>
      <c r="AT68" s="1"/>
      <c r="AU68" s="1"/>
      <c r="AV68" s="1"/>
      <c r="AW68" s="1"/>
    </row>
    <row r="69" spans="1:49" ht="12" customHeight="1">
      <c r="A69" s="1"/>
      <c r="B69" s="1"/>
      <c r="C69" s="1"/>
      <c r="D69" s="1"/>
      <c r="E69" s="1"/>
      <c r="F69" s="1"/>
      <c r="G69" s="1"/>
      <c r="H69" s="1"/>
      <c r="I69" s="1"/>
      <c r="J69" s="1"/>
      <c r="K69" s="1"/>
      <c r="L69" s="3" t="str">
        <f>IF($D$14="English","Test passed?","Test bestanden?")</f>
        <v>Test passed?</v>
      </c>
      <c r="M69" s="93"/>
      <c r="N69" s="93"/>
      <c r="O69" s="94"/>
      <c r="P69" s="222" t="str">
        <f>IF(AND(P54="Y",P55= "Y", P56="Y",P57="Y",P65="Y",P66="Y",P67="Y",P68="Y",P58="Y",P59="Y",P60="Y",P61="Y",P62="Y",P63="Y",P64="Y"),"Y","N")</f>
        <v>N</v>
      </c>
      <c r="Q69" s="220"/>
      <c r="R69" s="45"/>
      <c r="S69" s="46"/>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row>
    <row r="70" spans="1:49" ht="12" customHeight="1">
      <c r="A70" s="28"/>
      <c r="B70" s="31"/>
      <c r="C70" s="32"/>
      <c r="D70" s="1"/>
      <c r="E70" s="1"/>
      <c r="F70" s="1"/>
      <c r="G70" s="1"/>
      <c r="H70" s="1"/>
      <c r="I70" s="1"/>
      <c r="J70" s="1"/>
      <c r="K70" s="1"/>
      <c r="L70" s="1"/>
      <c r="M70" s="1"/>
      <c r="N70" s="1"/>
      <c r="O70" s="1"/>
      <c r="P70" s="1"/>
      <c r="Q70" s="1"/>
      <c r="R70" s="1"/>
      <c r="S70" s="45"/>
      <c r="T70" s="46"/>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row>
    <row r="71" spans="1:49" ht="12" customHeight="1">
      <c r="A71" s="257" t="str">
        <f>IF($D$14="English","If the maximum calculated error in Weighing Test is less or equal to 0,5e, no additional Tare Test has to be performed. ","Wenn der kalkulierte maximale Fehler im Linearitätstest kleiner oder gleich 0,5e ist, muss kein zusätzlich Tara Test durchgeführt werden. ")</f>
        <v xml:space="preserve">If the maximum calculated error in Weighing Test is less or equal to 0,5e, no additional Tare Test has to be performed. </v>
      </c>
      <c r="B71" s="237"/>
      <c r="C71" s="237"/>
      <c r="D71" s="237"/>
      <c r="E71" s="237"/>
      <c r="F71" s="237"/>
      <c r="G71" s="237"/>
      <c r="H71" s="237"/>
      <c r="I71" s="237"/>
      <c r="J71" s="237"/>
      <c r="K71" s="237"/>
      <c r="L71" s="237"/>
      <c r="M71" s="237"/>
      <c r="N71" s="237"/>
      <c r="O71" s="237"/>
      <c r="P71" s="237"/>
      <c r="Q71" s="237"/>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row>
    <row r="72" spans="1:49" ht="12" customHeight="1">
      <c r="A72" s="50"/>
      <c r="B72" s="50"/>
      <c r="C72" s="50"/>
      <c r="D72" s="50"/>
      <c r="E72" s="50"/>
      <c r="F72" s="50"/>
      <c r="G72" s="50"/>
      <c r="H72" s="50"/>
      <c r="I72" s="50"/>
      <c r="J72" s="50"/>
      <c r="K72" s="50"/>
      <c r="L72" s="50"/>
      <c r="M72" s="50"/>
      <c r="N72" s="50"/>
      <c r="O72" s="50"/>
      <c r="P72" s="50"/>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row>
    <row r="73" spans="1:49" ht="12" customHeight="1">
      <c r="A73" s="48" t="str">
        <f>IF($D$14="English","Does Test 5 have to be performed? ","Muss Test 5 durchgeführt werden? ")</f>
        <v xml:space="preserve">Does Test 5 have to be performed? </v>
      </c>
      <c r="B73" s="39"/>
      <c r="C73" s="39"/>
      <c r="D73" s="39"/>
      <c r="E73" s="39"/>
      <c r="F73" s="27" t="e">
        <f>IF(AND(AB54=1,AB55=1,AB56=1,AB57=1,AB58=1,AB59=1,AB60=1,AB61=1,AB62=1,AB63=1,AB64=1,AB65=1,AB66=1,AB67=1,AB68=1),"N","Y")</f>
        <v>#VALUE!</v>
      </c>
      <c r="G73" s="39"/>
      <c r="H73" s="49"/>
      <c r="I73" s="39"/>
      <c r="J73" s="39"/>
      <c r="K73" s="39"/>
      <c r="L73" s="39"/>
      <c r="M73" s="39"/>
      <c r="N73" s="39"/>
      <c r="O73" s="39"/>
      <c r="P73" s="39"/>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row>
    <row r="74" spans="1:49" ht="12" customHeight="1">
      <c r="A74" s="39"/>
      <c r="B74" s="39"/>
      <c r="C74" s="39"/>
      <c r="D74" s="39"/>
      <c r="E74" s="39"/>
      <c r="F74" s="39"/>
      <c r="G74" s="39"/>
      <c r="H74" s="39"/>
      <c r="I74" s="39"/>
      <c r="J74" s="39"/>
      <c r="K74" s="39"/>
      <c r="L74" s="39"/>
      <c r="M74" s="39"/>
      <c r="N74" s="39"/>
      <c r="O74" s="39"/>
      <c r="P74" s="39"/>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row>
    <row r="75" spans="1:49" ht="12" customHeight="1">
      <c r="A75" s="7" t="str">
        <f>IF($D$14="English","5.  Tare (Weighing Test) - Indicator in hi-res mode:","5. Tara (Richtigkeitsprüfung) - Indikator in Hi-Res-Modus:")</f>
        <v>5.  Tare (Weighing Test) - Indicator in hi-res mode:</v>
      </c>
      <c r="B75" s="50"/>
      <c r="C75" s="50"/>
      <c r="D75" s="50"/>
      <c r="E75" s="50"/>
      <c r="F75" s="50"/>
      <c r="G75" s="50"/>
      <c r="H75" s="1" t="str">
        <f>IF($D$14="English","accordance to EN45501-2015, A.4.6.1","gemäß EN45501-2015, A.4.6.1")</f>
        <v>accordance to EN45501-2015, A.4.6.1</v>
      </c>
      <c r="I75" s="50"/>
      <c r="J75" s="50"/>
      <c r="K75" s="50"/>
      <c r="L75" s="50"/>
      <c r="M75" s="50"/>
      <c r="N75" s="50"/>
      <c r="O75" s="50"/>
      <c r="P75" s="50"/>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row>
    <row r="76" spans="1:49" ht="12" customHeight="1">
      <c r="A76" s="258" t="str">
        <f>IF($D$14="English","Tare a load between 1/3 Max and 2/3 Max and test up to Max.at 5 load points. Please test at the loads where mpe changes.","Last zwischen 1/3 und 2/3 Max tarieren und bis zur Maximallast bei 5 Lastpunkten prüfen. Bei den Lasten, bei denen sich mpe ändert, muss geprüft werden. ")</f>
        <v>Tare a load between 1/3 Max and 2/3 Max and test up to Max.at 5 load points. Please test at the loads where mpe changes.</v>
      </c>
      <c r="B76" s="237"/>
      <c r="C76" s="237"/>
      <c r="D76" s="237"/>
      <c r="E76" s="237"/>
      <c r="F76" s="237"/>
      <c r="G76" s="237"/>
      <c r="H76" s="237"/>
      <c r="I76" s="237"/>
      <c r="J76" s="237"/>
      <c r="K76" s="237"/>
      <c r="L76" s="237"/>
      <c r="M76" s="237"/>
      <c r="N76" s="237"/>
      <c r="O76" s="237"/>
      <c r="P76" s="237"/>
      <c r="Q76" s="237"/>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row>
    <row r="77" spans="1:49" ht="12" customHeight="1">
      <c r="A77" s="237"/>
      <c r="B77" s="237"/>
      <c r="C77" s="237"/>
      <c r="D77" s="237"/>
      <c r="E77" s="237"/>
      <c r="F77" s="237"/>
      <c r="G77" s="237"/>
      <c r="H77" s="237"/>
      <c r="I77" s="237"/>
      <c r="J77" s="237"/>
      <c r="K77" s="237"/>
      <c r="L77" s="237"/>
      <c r="M77" s="237"/>
      <c r="N77" s="237"/>
      <c r="O77" s="237"/>
      <c r="P77" s="237"/>
      <c r="Q77" s="237"/>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row>
    <row r="78" spans="1:49" ht="12" customHeight="1">
      <c r="A78" s="7" t="str">
        <f>IF($D$14="English","Tared load:","Tarierte Last:")</f>
        <v>Tared load:</v>
      </c>
      <c r="B78" s="31"/>
      <c r="C78" s="279"/>
      <c r="D78" s="216"/>
      <c r="E78" s="1" t="s">
        <v>33</v>
      </c>
      <c r="F78" s="1"/>
      <c r="G78" s="6"/>
      <c r="H78" s="1"/>
      <c r="J78" s="17"/>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row>
    <row r="79" spans="1:49" ht="12" customHeight="1">
      <c r="A79" s="231" t="s">
        <v>26</v>
      </c>
      <c r="B79" s="223"/>
      <c r="C79" s="220"/>
      <c r="D79" s="19" t="s">
        <v>72</v>
      </c>
      <c r="E79" s="231" t="s">
        <v>27</v>
      </c>
      <c r="F79" s="220"/>
      <c r="G79" s="231" t="s">
        <v>73</v>
      </c>
      <c r="H79" s="220"/>
      <c r="I79" s="231" t="s">
        <v>29</v>
      </c>
      <c r="J79" s="223"/>
      <c r="K79" s="220"/>
      <c r="L79" s="232" t="s">
        <v>87</v>
      </c>
      <c r="M79" s="223"/>
      <c r="N79" s="220"/>
      <c r="O79" s="18" t="s">
        <v>30</v>
      </c>
      <c r="P79" s="95"/>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row>
    <row r="80" spans="1:49" ht="12" customHeight="1">
      <c r="A80" s="259" t="s">
        <v>33</v>
      </c>
      <c r="B80" s="223"/>
      <c r="C80" s="220"/>
      <c r="D80" s="51"/>
      <c r="E80" s="231" t="s">
        <v>33</v>
      </c>
      <c r="F80" s="220"/>
      <c r="G80" s="256" t="s">
        <v>33</v>
      </c>
      <c r="H80" s="220"/>
      <c r="I80" s="256" t="s">
        <v>33</v>
      </c>
      <c r="J80" s="220"/>
      <c r="K80" s="52" t="s">
        <v>32</v>
      </c>
      <c r="L80" s="231" t="s">
        <v>33</v>
      </c>
      <c r="M80" s="223"/>
      <c r="N80" s="220"/>
      <c r="O80" s="18" t="s">
        <v>34</v>
      </c>
      <c r="P80" s="95"/>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row>
    <row r="81" spans="1:49" ht="12" customHeight="1">
      <c r="A81" s="279"/>
      <c r="B81" s="215"/>
      <c r="C81" s="216"/>
      <c r="D81" s="51" t="str">
        <f t="shared" ref="D81:D89" si="36">IF($D$10=0," ",IF(A81&lt;=$D$9,A81/$D$11,A81/$D$12))</f>
        <v xml:space="preserve"> </v>
      </c>
      <c r="E81" s="276"/>
      <c r="F81" s="216"/>
      <c r="G81" s="277" t="str">
        <f t="shared" ref="G81:G89" si="37">IF($A81=0," ",IF($D$10=0," ",E81-A81))</f>
        <v xml:space="preserve"> </v>
      </c>
      <c r="H81" s="220"/>
      <c r="I81" s="270" t="str">
        <f t="shared" ref="I81:I85" si="38">IF($D$10=0," ",IF(A81&lt;=$D$9,K81*$D$11,K81*$D$12))</f>
        <v xml:space="preserve"> </v>
      </c>
      <c r="J81" s="220"/>
      <c r="K81" s="26">
        <f t="shared" ref="K81:K89" si="39">IF(D81=0,0,IF(D81&lt;=500,0.5,(IF(D81&lt;=2000,1,IF(D81&gt;2000,1.5," ")))))</f>
        <v>1.5</v>
      </c>
      <c r="L81" s="270" t="str">
        <f t="shared" ref="L81:L89" si="40">IF(E81=0," ",IF($E$46=" "," ",ROUND(G81-$E$46,4)))</f>
        <v xml:space="preserve"> </v>
      </c>
      <c r="M81" s="223"/>
      <c r="N81" s="220"/>
      <c r="O81" s="222" t="str">
        <f t="shared" ref="O81:O89" si="41">IF(L81=" "," ",IF(ABS(L81)&lt;=I81,"Y","N"))</f>
        <v xml:space="preserve"> </v>
      </c>
      <c r="P81" s="220"/>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row>
    <row r="82" spans="1:49" ht="12" customHeight="1">
      <c r="A82" s="279"/>
      <c r="B82" s="215"/>
      <c r="C82" s="216"/>
      <c r="D82" s="51" t="str">
        <f t="shared" si="36"/>
        <v xml:space="preserve"> </v>
      </c>
      <c r="E82" s="276"/>
      <c r="F82" s="216"/>
      <c r="G82" s="277" t="str">
        <f t="shared" si="37"/>
        <v xml:space="preserve"> </v>
      </c>
      <c r="H82" s="220"/>
      <c r="I82" s="270" t="str">
        <f t="shared" si="38"/>
        <v xml:space="preserve"> </v>
      </c>
      <c r="J82" s="220"/>
      <c r="K82" s="26">
        <f t="shared" si="39"/>
        <v>1.5</v>
      </c>
      <c r="L82" s="270" t="str">
        <f t="shared" si="40"/>
        <v xml:space="preserve"> </v>
      </c>
      <c r="M82" s="223"/>
      <c r="N82" s="220"/>
      <c r="O82" s="222" t="str">
        <f t="shared" si="41"/>
        <v xml:space="preserve"> </v>
      </c>
      <c r="P82" s="220"/>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row>
    <row r="83" spans="1:49" ht="12" customHeight="1">
      <c r="A83" s="279"/>
      <c r="B83" s="215"/>
      <c r="C83" s="216"/>
      <c r="D83" s="51" t="str">
        <f t="shared" si="36"/>
        <v xml:space="preserve"> </v>
      </c>
      <c r="E83" s="276"/>
      <c r="F83" s="216"/>
      <c r="G83" s="277" t="str">
        <f t="shared" si="37"/>
        <v xml:space="preserve"> </v>
      </c>
      <c r="H83" s="220"/>
      <c r="I83" s="270" t="str">
        <f t="shared" si="38"/>
        <v xml:space="preserve"> </v>
      </c>
      <c r="J83" s="220"/>
      <c r="K83" s="26">
        <f t="shared" si="39"/>
        <v>1.5</v>
      </c>
      <c r="L83" s="270" t="str">
        <f t="shared" si="40"/>
        <v xml:space="preserve"> </v>
      </c>
      <c r="M83" s="223"/>
      <c r="N83" s="220"/>
      <c r="O83" s="222" t="str">
        <f t="shared" si="41"/>
        <v xml:space="preserve"> </v>
      </c>
      <c r="P83" s="220"/>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row>
    <row r="84" spans="1:49" ht="12" customHeight="1">
      <c r="A84" s="279"/>
      <c r="B84" s="215"/>
      <c r="C84" s="216"/>
      <c r="D84" s="51" t="str">
        <f t="shared" si="36"/>
        <v xml:space="preserve"> </v>
      </c>
      <c r="E84" s="276"/>
      <c r="F84" s="216"/>
      <c r="G84" s="277" t="str">
        <f t="shared" si="37"/>
        <v xml:space="preserve"> </v>
      </c>
      <c r="H84" s="220"/>
      <c r="I84" s="270" t="str">
        <f t="shared" si="38"/>
        <v xml:space="preserve"> </v>
      </c>
      <c r="J84" s="220"/>
      <c r="K84" s="26">
        <f t="shared" si="39"/>
        <v>1.5</v>
      </c>
      <c r="L84" s="270" t="str">
        <f t="shared" si="40"/>
        <v xml:space="preserve"> </v>
      </c>
      <c r="M84" s="223"/>
      <c r="N84" s="220"/>
      <c r="O84" s="222" t="str">
        <f t="shared" si="41"/>
        <v xml:space="preserve"> </v>
      </c>
      <c r="P84" s="220"/>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row>
    <row r="85" spans="1:49" ht="12" customHeight="1">
      <c r="A85" s="279"/>
      <c r="B85" s="215"/>
      <c r="C85" s="216"/>
      <c r="D85" s="51" t="str">
        <f t="shared" si="36"/>
        <v xml:space="preserve"> </v>
      </c>
      <c r="E85" s="276"/>
      <c r="F85" s="216"/>
      <c r="G85" s="277" t="str">
        <f t="shared" si="37"/>
        <v xml:space="preserve"> </v>
      </c>
      <c r="H85" s="220"/>
      <c r="I85" s="270" t="str">
        <f t="shared" si="38"/>
        <v xml:space="preserve"> </v>
      </c>
      <c r="J85" s="220"/>
      <c r="K85" s="26">
        <f t="shared" si="39"/>
        <v>1.5</v>
      </c>
      <c r="L85" s="270" t="str">
        <f t="shared" si="40"/>
        <v xml:space="preserve"> </v>
      </c>
      <c r="M85" s="223"/>
      <c r="N85" s="220"/>
      <c r="O85" s="222" t="str">
        <f t="shared" si="41"/>
        <v xml:space="preserve"> </v>
      </c>
      <c r="P85" s="220"/>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row>
    <row r="86" spans="1:49" ht="12" customHeight="1">
      <c r="A86" s="278">
        <f>A84</f>
        <v>0</v>
      </c>
      <c r="B86" s="223"/>
      <c r="C86" s="220"/>
      <c r="D86" s="51" t="str">
        <f t="shared" si="36"/>
        <v xml:space="preserve"> </v>
      </c>
      <c r="E86" s="276"/>
      <c r="F86" s="216"/>
      <c r="G86" s="277" t="str">
        <f t="shared" si="37"/>
        <v xml:space="preserve"> </v>
      </c>
      <c r="H86" s="220"/>
      <c r="I86" s="270" t="str">
        <f t="shared" ref="I86:I89" si="42">IF($D$10=0," ",IF($A$85&lt;=$D$9,K86*$D$11,K86*$D$12))</f>
        <v xml:space="preserve"> </v>
      </c>
      <c r="J86" s="220"/>
      <c r="K86" s="26">
        <f t="shared" si="39"/>
        <v>1.5</v>
      </c>
      <c r="L86" s="270" t="str">
        <f t="shared" si="40"/>
        <v xml:space="preserve"> </v>
      </c>
      <c r="M86" s="223"/>
      <c r="N86" s="220"/>
      <c r="O86" s="222" t="str">
        <f t="shared" si="41"/>
        <v xml:space="preserve"> </v>
      </c>
      <c r="P86" s="220"/>
      <c r="Q86" s="17"/>
      <c r="R86" s="17"/>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row>
    <row r="87" spans="1:49" ht="12" customHeight="1">
      <c r="A87" s="278">
        <f>A83</f>
        <v>0</v>
      </c>
      <c r="B87" s="223"/>
      <c r="C87" s="220"/>
      <c r="D87" s="51" t="str">
        <f t="shared" si="36"/>
        <v xml:space="preserve"> </v>
      </c>
      <c r="E87" s="276"/>
      <c r="F87" s="216"/>
      <c r="G87" s="277" t="str">
        <f t="shared" si="37"/>
        <v xml:space="preserve"> </v>
      </c>
      <c r="H87" s="220"/>
      <c r="I87" s="270" t="str">
        <f t="shared" si="42"/>
        <v xml:space="preserve"> </v>
      </c>
      <c r="J87" s="220"/>
      <c r="K87" s="26">
        <f t="shared" si="39"/>
        <v>1.5</v>
      </c>
      <c r="L87" s="270" t="str">
        <f t="shared" si="40"/>
        <v xml:space="preserve"> </v>
      </c>
      <c r="M87" s="223"/>
      <c r="N87" s="220"/>
      <c r="O87" s="222" t="str">
        <f t="shared" si="41"/>
        <v xml:space="preserve"> </v>
      </c>
      <c r="P87" s="220"/>
      <c r="Q87" s="17"/>
      <c r="R87" s="17"/>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row>
    <row r="88" spans="1:49" ht="12" customHeight="1">
      <c r="A88" s="278">
        <f>A82</f>
        <v>0</v>
      </c>
      <c r="B88" s="223"/>
      <c r="C88" s="220"/>
      <c r="D88" s="51" t="str">
        <f t="shared" si="36"/>
        <v xml:space="preserve"> </v>
      </c>
      <c r="E88" s="276"/>
      <c r="F88" s="216"/>
      <c r="G88" s="277" t="str">
        <f t="shared" si="37"/>
        <v xml:space="preserve"> </v>
      </c>
      <c r="H88" s="220"/>
      <c r="I88" s="270" t="str">
        <f t="shared" si="42"/>
        <v xml:space="preserve"> </v>
      </c>
      <c r="J88" s="220"/>
      <c r="K88" s="26">
        <f t="shared" si="39"/>
        <v>1.5</v>
      </c>
      <c r="L88" s="270" t="str">
        <f t="shared" si="40"/>
        <v xml:space="preserve"> </v>
      </c>
      <c r="M88" s="223"/>
      <c r="N88" s="220"/>
      <c r="O88" s="222" t="str">
        <f t="shared" si="41"/>
        <v xml:space="preserve"> </v>
      </c>
      <c r="P88" s="220"/>
      <c r="Q88" s="17"/>
      <c r="R88" s="17"/>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row>
    <row r="89" spans="1:49" ht="12" customHeight="1">
      <c r="A89" s="278">
        <f>A81</f>
        <v>0</v>
      </c>
      <c r="B89" s="223"/>
      <c r="C89" s="220"/>
      <c r="D89" s="51" t="str">
        <f t="shared" si="36"/>
        <v xml:space="preserve"> </v>
      </c>
      <c r="E89" s="276"/>
      <c r="F89" s="216"/>
      <c r="G89" s="277" t="str">
        <f t="shared" si="37"/>
        <v xml:space="preserve"> </v>
      </c>
      <c r="H89" s="220"/>
      <c r="I89" s="270" t="str">
        <f t="shared" si="42"/>
        <v xml:space="preserve"> </v>
      </c>
      <c r="J89" s="220"/>
      <c r="K89" s="26">
        <f t="shared" si="39"/>
        <v>1.5</v>
      </c>
      <c r="L89" s="270" t="str">
        <f t="shared" si="40"/>
        <v xml:space="preserve"> </v>
      </c>
      <c r="M89" s="223"/>
      <c r="N89" s="220"/>
      <c r="O89" s="222" t="str">
        <f t="shared" si="41"/>
        <v xml:space="preserve"> </v>
      </c>
      <c r="P89" s="220"/>
      <c r="Q89" s="17"/>
      <c r="R89" s="17"/>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row>
    <row r="90" spans="1:49" ht="12" customHeight="1">
      <c r="A90" s="1"/>
      <c r="B90" s="53"/>
      <c r="C90" s="40"/>
      <c r="D90" s="1"/>
      <c r="E90" s="1"/>
      <c r="F90" s="1"/>
      <c r="G90" s="31"/>
      <c r="H90" s="31"/>
      <c r="I90" s="1"/>
      <c r="J90" s="1"/>
      <c r="K90" s="1"/>
      <c r="L90" s="54"/>
      <c r="M90" s="6" t="str">
        <f>IF($D$14="English","Test passed?","Test bestanden?")</f>
        <v>Test passed?</v>
      </c>
      <c r="N90" s="1"/>
      <c r="O90" s="222" t="str">
        <f>IF(AND(O81="Y",O82="Y",O83="Y",O84="Y",O85="Y",O86="Y",O87="Y",O88="Y",O89="Y"),"Y","N")</f>
        <v>N</v>
      </c>
      <c r="P90" s="220"/>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row>
    <row r="91" spans="1:49" ht="12" customHeight="1">
      <c r="A91" s="47"/>
      <c r="B91" s="50"/>
      <c r="C91" s="50"/>
      <c r="D91" s="50"/>
      <c r="E91" s="50"/>
      <c r="F91" s="50"/>
      <c r="G91" s="50"/>
      <c r="H91" s="50"/>
      <c r="I91" s="50"/>
      <c r="J91" s="50"/>
      <c r="K91" s="50"/>
      <c r="L91" s="50"/>
      <c r="M91" s="50"/>
      <c r="N91" s="50"/>
      <c r="O91" s="50"/>
      <c r="P91" s="50"/>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row>
    <row r="92" spans="1:49" ht="12" customHeight="1">
      <c r="A92" s="28"/>
      <c r="B92" s="31"/>
      <c r="C92" s="32"/>
      <c r="D92" s="1"/>
      <c r="E92" s="1"/>
      <c r="F92" s="1"/>
      <c r="G92" s="1"/>
      <c r="H92" s="1"/>
      <c r="I92" s="1"/>
      <c r="J92" s="1"/>
      <c r="K92" s="1"/>
      <c r="L92" s="1"/>
      <c r="M92" s="1"/>
      <c r="N92" s="1"/>
      <c r="O92" s="1"/>
      <c r="P92" s="1"/>
      <c r="Q92" s="1"/>
      <c r="R92" s="1"/>
      <c r="S92" s="45"/>
      <c r="T92" s="46"/>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row>
    <row r="93" spans="1:49" ht="12" customHeight="1">
      <c r="A93" s="28"/>
      <c r="B93" s="31"/>
      <c r="C93" s="32"/>
      <c r="D93" s="1"/>
      <c r="E93" s="1"/>
      <c r="F93" s="1"/>
      <c r="G93" s="1"/>
      <c r="H93" s="1"/>
      <c r="I93" s="1"/>
      <c r="J93" s="1"/>
      <c r="K93" s="1"/>
      <c r="L93" s="1"/>
      <c r="M93" s="1"/>
      <c r="N93" s="1"/>
      <c r="O93" s="1"/>
      <c r="P93" s="1"/>
      <c r="Q93" s="1"/>
      <c r="R93" s="1"/>
      <c r="S93" s="45"/>
      <c r="T93" s="46"/>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row>
    <row r="94" spans="1:49" ht="12" customHeight="1">
      <c r="A94" s="28"/>
      <c r="B94" s="31"/>
      <c r="C94" s="32"/>
      <c r="D94" s="1"/>
      <c r="E94" s="1"/>
      <c r="F94" s="1"/>
      <c r="G94" s="1"/>
      <c r="H94" s="1"/>
      <c r="I94" s="1"/>
      <c r="J94" s="1"/>
      <c r="K94" s="1"/>
      <c r="L94" s="1"/>
      <c r="M94" s="1"/>
      <c r="N94" s="1"/>
      <c r="O94" s="1"/>
      <c r="P94" s="1"/>
      <c r="Q94" s="1"/>
      <c r="R94" s="1"/>
      <c r="S94" s="45"/>
      <c r="T94" s="46"/>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row>
    <row r="95" spans="1:49" ht="12" customHeight="1">
      <c r="A95" s="28"/>
      <c r="B95" s="31"/>
      <c r="C95" s="32"/>
      <c r="D95" s="1"/>
      <c r="E95" s="1"/>
      <c r="F95" s="1"/>
      <c r="G95" s="1"/>
      <c r="H95" s="1"/>
      <c r="I95" s="1"/>
      <c r="J95" s="1"/>
      <c r="K95" s="1"/>
      <c r="L95" s="1"/>
      <c r="M95" s="1"/>
      <c r="N95" s="1"/>
      <c r="O95" s="1"/>
      <c r="P95" s="1"/>
      <c r="Q95" s="1"/>
      <c r="R95" s="1"/>
      <c r="S95" s="45"/>
      <c r="T95" s="46"/>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row>
    <row r="96" spans="1:49" ht="12" customHeight="1">
      <c r="A96" s="28"/>
      <c r="B96" s="31"/>
      <c r="C96" s="32"/>
      <c r="D96" s="1"/>
      <c r="E96" s="1"/>
      <c r="F96" s="1"/>
      <c r="G96" s="1"/>
      <c r="H96" s="1"/>
      <c r="I96" s="1"/>
      <c r="J96" s="1"/>
      <c r="K96" s="1"/>
      <c r="L96" s="1"/>
      <c r="M96" s="1"/>
      <c r="N96" s="1"/>
      <c r="O96" s="1"/>
      <c r="P96" s="1"/>
      <c r="Q96" s="1"/>
      <c r="R96" s="1"/>
      <c r="S96" s="45"/>
      <c r="T96" s="46"/>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row>
    <row r="97" spans="1:49" ht="12" customHeight="1">
      <c r="A97" s="28"/>
      <c r="B97" s="31"/>
      <c r="C97" s="32"/>
      <c r="D97" s="1"/>
      <c r="E97" s="1"/>
      <c r="F97" s="1"/>
      <c r="G97" s="1"/>
      <c r="H97" s="1"/>
      <c r="I97" s="1"/>
      <c r="J97" s="1"/>
      <c r="K97" s="1"/>
      <c r="L97" s="1"/>
      <c r="M97" s="1"/>
      <c r="N97" s="1"/>
      <c r="O97" s="1"/>
      <c r="P97" s="1"/>
      <c r="Q97" s="1"/>
      <c r="R97" s="1"/>
      <c r="S97" s="7" t="s">
        <v>75</v>
      </c>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row>
    <row r="98" spans="1:49" ht="12" customHeight="1">
      <c r="A98" s="28"/>
      <c r="B98" s="31"/>
      <c r="C98" s="32"/>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row>
    <row r="99" spans="1:49" ht="15" customHeight="1">
      <c r="A99" s="28"/>
      <c r="B99" s="31"/>
      <c r="C99" s="32"/>
      <c r="D99" s="1"/>
      <c r="E99" s="1"/>
      <c r="F99" s="1"/>
      <c r="G99" s="6"/>
      <c r="J99" s="17"/>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row>
    <row r="100" spans="1:49" ht="12" customHeight="1">
      <c r="A100" s="7" t="str">
        <f>IF($D$14="English","6.  Eccentricity Test (Indicator in hi-res mode)","6.  Prüfung bei Außermittiger Belastung (Indicator in hi-res mode)")</f>
        <v>6.  Eccentricity Test (Indicator in hi-res mode)</v>
      </c>
      <c r="B100" s="1"/>
      <c r="C100" s="6"/>
      <c r="D100" s="8"/>
      <c r="E100" s="8"/>
      <c r="F100" s="1"/>
      <c r="G100" s="1"/>
      <c r="H100" s="1" t="str">
        <f>IF($D$14="English","accordance to EN45501-2015, A.4.7","gemäß EN45501-2015, A.4.7")</f>
        <v>accordance to EN45501-2015, A.4.7</v>
      </c>
      <c r="I100" s="1"/>
      <c r="J100" s="1"/>
      <c r="K100" s="1"/>
      <c r="L100" s="6"/>
      <c r="M100" s="6"/>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row>
    <row r="101" spans="1:49" ht="12" customHeight="1">
      <c r="A101" s="7"/>
      <c r="B101" s="7" t="str">
        <f>IF($D$14="English","Load position","Belastungsort")</f>
        <v>Load position</v>
      </c>
      <c r="C101" s="1"/>
      <c r="D101" s="1"/>
      <c r="E101" s="1"/>
      <c r="F101" s="1"/>
      <c r="G101" s="1"/>
      <c r="H101" s="1"/>
      <c r="I101" s="1"/>
      <c r="J101" s="1"/>
      <c r="K101" s="1"/>
      <c r="L101" s="1"/>
      <c r="M101" s="1"/>
      <c r="N101" s="1"/>
      <c r="O101" s="1"/>
      <c r="P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row>
    <row r="102" spans="1:49" ht="12" customHeight="1">
      <c r="A102" s="7"/>
      <c r="B102" s="55">
        <v>1</v>
      </c>
      <c r="C102" s="56"/>
      <c r="D102" s="57">
        <f>IF($Q$108="Y",2,4)</f>
        <v>4</v>
      </c>
      <c r="E102" s="58"/>
      <c r="F102" s="57" t="str">
        <f>IF(AND($G$108=4,Q108="N")," ",IF($Q$108="Y",3,5))</f>
        <v xml:space="preserve"> </v>
      </c>
      <c r="G102" s="56"/>
      <c r="H102" s="57" t="str">
        <f>IF(AND(OR($G$108=4,$G$108=6),Q108="N")," ",IF($Q$108="Y",4,8))</f>
        <v xml:space="preserve"> </v>
      </c>
      <c r="I102" s="56"/>
      <c r="J102" s="57" t="str">
        <f>IF(AND(OR($G$108=4,$G$108=6,$G$108=8),$Q$108="N")," ",IF($Q$108="Y"," ",9))</f>
        <v xml:space="preserve"> </v>
      </c>
      <c r="K102" s="56"/>
      <c r="O102" s="1"/>
      <c r="P102" s="1"/>
      <c r="Q102" s="23" t="s">
        <v>76</v>
      </c>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row>
    <row r="103" spans="1:49" ht="12" customHeight="1">
      <c r="A103" s="7"/>
      <c r="B103" s="59"/>
      <c r="C103" s="60"/>
      <c r="D103" s="61"/>
      <c r="E103" s="61"/>
      <c r="F103" s="62"/>
      <c r="G103" s="60"/>
      <c r="H103" s="61"/>
      <c r="I103" s="60"/>
      <c r="J103" s="59"/>
      <c r="K103" s="60"/>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row>
    <row r="104" spans="1:49" ht="12" customHeight="1">
      <c r="A104" s="7"/>
      <c r="B104" s="55">
        <f>IF($Q$108="Y"," ",2)</f>
        <v>2</v>
      </c>
      <c r="C104" s="63" t="s">
        <v>77</v>
      </c>
      <c r="D104" s="55">
        <f>IF($Q$108="Y"," ",3)</f>
        <v>3</v>
      </c>
      <c r="E104" s="58"/>
      <c r="F104" s="57" t="str">
        <f>IF($G$108=4," ",IF($Q$108="Y"," ",6))</f>
        <v xml:space="preserve"> </v>
      </c>
      <c r="G104" s="63"/>
      <c r="H104" s="57" t="str">
        <f>IF(OR($G$108=4,$G$108=6)," ",IF($Q$108="Y"," ",7))</f>
        <v xml:space="preserve"> </v>
      </c>
      <c r="I104" s="63"/>
      <c r="J104" s="57" t="str">
        <f>IF(AND(OR($G$108=4,$G$108=6,$G$108=8),$Q$108="N")," ",IF($Q$108="Y"," ",10))</f>
        <v xml:space="preserve"> </v>
      </c>
      <c r="K104" s="56"/>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row>
    <row r="105" spans="1:49" ht="12" customHeight="1">
      <c r="A105" s="7"/>
      <c r="B105" s="59"/>
      <c r="C105" s="60"/>
      <c r="D105" s="61"/>
      <c r="E105" s="64"/>
      <c r="F105" s="61"/>
      <c r="G105" s="60"/>
      <c r="H105" s="61"/>
      <c r="I105" s="60"/>
      <c r="J105" s="59"/>
      <c r="K105" s="60"/>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row>
    <row r="106" spans="1:49" ht="12" customHeight="1">
      <c r="A106" s="7"/>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row>
    <row r="107" spans="1:49" ht="12" customHeight="1">
      <c r="A107" s="7"/>
      <c r="B107" s="1"/>
      <c r="C107" s="1"/>
      <c r="D107" s="1"/>
      <c r="E107" s="1"/>
      <c r="F107" s="1"/>
      <c r="G107" s="1"/>
      <c r="H107" s="1"/>
      <c r="I107" s="1"/>
      <c r="J107" s="274" t="str">
        <f>IF($D$14="English","Load positions in one line (e.g. weighing belt)?","Belastungsorte in einer Reihe (z.B. Bandwaage)?")</f>
        <v>Load positions in one line (e.g. weighing belt)?</v>
      </c>
      <c r="K107" s="237"/>
      <c r="L107" s="237"/>
      <c r="M107" s="237"/>
      <c r="N107" s="237"/>
      <c r="O107" s="237"/>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row>
    <row r="108" spans="1:49" ht="14.25" customHeight="1">
      <c r="A108" s="7"/>
      <c r="B108" s="1" t="str">
        <f>IF($D$14="English","number of load carrier","Anzahl Auflager")</f>
        <v>number of load carrier</v>
      </c>
      <c r="C108" s="1"/>
      <c r="F108" s="23" t="s">
        <v>76</v>
      </c>
      <c r="G108" s="171">
        <v>4</v>
      </c>
      <c r="H108" s="1"/>
      <c r="I108" s="1"/>
      <c r="J108" s="237"/>
      <c r="K108" s="237"/>
      <c r="L108" s="237"/>
      <c r="M108" s="237"/>
      <c r="N108" s="237"/>
      <c r="O108" s="237"/>
      <c r="Q108" s="172" t="s">
        <v>78</v>
      </c>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c r="AQ108" s="65"/>
      <c r="AR108" s="65"/>
      <c r="AS108" s="65"/>
      <c r="AT108" s="65"/>
      <c r="AU108" s="65"/>
      <c r="AV108" s="65"/>
      <c r="AW108" s="65"/>
    </row>
    <row r="109" spans="1:49" ht="12" customHeight="1">
      <c r="A109" s="7"/>
      <c r="B109" s="1"/>
      <c r="C109" s="1"/>
      <c r="D109" s="1"/>
      <c r="E109" s="1"/>
      <c r="F109" s="1"/>
      <c r="G109" s="1"/>
      <c r="H109" s="1"/>
      <c r="I109" s="1"/>
      <c r="J109" s="66"/>
      <c r="K109" s="1"/>
      <c r="L109" s="1"/>
      <c r="M109" s="1"/>
      <c r="N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row>
    <row r="110" spans="1:49" ht="12" customHeight="1">
      <c r="A110" s="264" t="str">
        <f>IF($D$14="English","load must be about","ungefähre Last")</f>
        <v>load must be about</v>
      </c>
      <c r="B110" s="220"/>
      <c r="C110" s="265" t="s">
        <v>26</v>
      </c>
      <c r="D110" s="223"/>
      <c r="E110" s="220"/>
      <c r="F110" s="67" t="s">
        <v>27</v>
      </c>
      <c r="G110" s="68"/>
      <c r="H110" s="265" t="s">
        <v>28</v>
      </c>
      <c r="I110" s="220"/>
      <c r="J110" s="67" t="s">
        <v>29</v>
      </c>
      <c r="K110" s="68"/>
      <c r="L110" s="69" t="s">
        <v>30</v>
      </c>
      <c r="M110" s="65"/>
      <c r="N110" s="65"/>
      <c r="O110" s="34"/>
      <c r="P110" s="34"/>
      <c r="Q110" s="34"/>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row>
    <row r="111" spans="1:49" ht="12" customHeight="1">
      <c r="A111" s="231" t="s">
        <v>33</v>
      </c>
      <c r="B111" s="220"/>
      <c r="C111" s="18" t="s">
        <v>32</v>
      </c>
      <c r="D111" s="20" t="s">
        <v>79</v>
      </c>
      <c r="E111" s="21" t="s">
        <v>33</v>
      </c>
      <c r="F111" s="18" t="s">
        <v>33</v>
      </c>
      <c r="G111" s="70"/>
      <c r="H111" s="231" t="s">
        <v>33</v>
      </c>
      <c r="I111" s="220"/>
      <c r="J111" s="19" t="s">
        <v>33</v>
      </c>
      <c r="K111" s="21" t="s">
        <v>32</v>
      </c>
      <c r="L111" s="19" t="s">
        <v>34</v>
      </c>
      <c r="M111" s="1"/>
      <c r="N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row>
    <row r="112" spans="1:49" ht="12" customHeight="1">
      <c r="A112" s="280">
        <f t="shared" ref="A112:A115" si="43">ROUND($D$10/($G$108-1),-0.01)</f>
        <v>0</v>
      </c>
      <c r="B112" s="220"/>
      <c r="C112" s="11" t="str">
        <f t="shared" ref="C112:C115" si="44">IF($D$9=0," ",IF(E112=" "," ",IF(E112&lt;=$D$9,E112/$D$11,E112/$D$12)))</f>
        <v xml:space="preserve"> </v>
      </c>
      <c r="D112" s="20">
        <v>1</v>
      </c>
      <c r="E112" s="175"/>
      <c r="F112" s="269"/>
      <c r="G112" s="216"/>
      <c r="H112" s="270" t="str">
        <f t="shared" ref="H112:H121" si="45">IF(F112=0," ",ABS(E112-F112))</f>
        <v xml:space="preserve"> </v>
      </c>
      <c r="I112" s="220"/>
      <c r="J112" s="90">
        <f>IF(E112=0,0,IF(E112&lt;=$D$9,PRODUCT($D$11,K112),PRODUCT($D$12,K112)))</f>
        <v>0</v>
      </c>
      <c r="K112" s="26">
        <f>IF(C112=0,0,IF(C112&lt;=500,0.5,(IF(C112&lt;=2000,1,IF(C112&gt;2000,1.5," ")))))</f>
        <v>1.5</v>
      </c>
      <c r="L112" s="27" t="str">
        <f t="shared" ref="L112:L121" si="46">IF(F112=0," ",IF(ABS(H112)&lt;=J112,"Y","N"))</f>
        <v xml:space="preserve"> </v>
      </c>
      <c r="M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row>
    <row r="113" spans="1:49" ht="12" customHeight="1">
      <c r="A113" s="280">
        <f t="shared" si="43"/>
        <v>0</v>
      </c>
      <c r="B113" s="220"/>
      <c r="C113" s="11" t="str">
        <f t="shared" si="44"/>
        <v xml:space="preserve"> </v>
      </c>
      <c r="D113" s="20">
        <v>2</v>
      </c>
      <c r="E113" s="96" t="str">
        <f t="shared" ref="E113:E115" si="47">IF($G$108&gt;1,IF($E$112=0," ",$E$112)," ")</f>
        <v xml:space="preserve"> </v>
      </c>
      <c r="F113" s="269"/>
      <c r="G113" s="216"/>
      <c r="H113" s="270" t="str">
        <f t="shared" si="45"/>
        <v xml:space="preserve"> </v>
      </c>
      <c r="I113" s="220"/>
      <c r="J113" s="90">
        <f t="shared" ref="J113:J121" si="48">IF(E113=" ",0,IF(E113&lt;=$D$9,PRODUCT($D$11,K113),PRODUCT($D$12,K113)))</f>
        <v>0</v>
      </c>
      <c r="K113" s="26">
        <f t="shared" ref="K113:K121" si="49">IF(C113=" ",0,IF(C113&lt;=500,0.5,(IF(C113&lt;=2000,1,IF(C113&gt;2000,1.5," ")))))</f>
        <v>0</v>
      </c>
      <c r="L113" s="27" t="str">
        <f t="shared" si="46"/>
        <v xml:space="preserve"> </v>
      </c>
      <c r="N113" s="73" t="str">
        <f>IF(AND(L112="Y",L113="Y",L114="Y",L115="Y"),"Y","N")</f>
        <v>N</v>
      </c>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row>
    <row r="114" spans="1:49" ht="12" customHeight="1">
      <c r="A114" s="280">
        <f t="shared" si="43"/>
        <v>0</v>
      </c>
      <c r="B114" s="220"/>
      <c r="C114" s="11" t="str">
        <f t="shared" si="44"/>
        <v xml:space="preserve"> </v>
      </c>
      <c r="D114" s="20">
        <v>3</v>
      </c>
      <c r="E114" s="96" t="str">
        <f t="shared" si="47"/>
        <v xml:space="preserve"> </v>
      </c>
      <c r="F114" s="269"/>
      <c r="G114" s="216"/>
      <c r="H114" s="270" t="str">
        <f t="shared" si="45"/>
        <v xml:space="preserve"> </v>
      </c>
      <c r="I114" s="220"/>
      <c r="J114" s="90">
        <f t="shared" si="48"/>
        <v>0</v>
      </c>
      <c r="K114" s="26">
        <f t="shared" si="49"/>
        <v>0</v>
      </c>
      <c r="L114" s="27" t="str">
        <f t="shared" si="46"/>
        <v xml:space="preserve"> </v>
      </c>
      <c r="N114" s="73" t="str">
        <f>IF(AND(L112="Y",L113="Y",L114="Y",L115="Y",L116="Y",L117="Y"),"Y","N")</f>
        <v>N</v>
      </c>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row>
    <row r="115" spans="1:49" ht="12" customHeight="1">
      <c r="A115" s="280">
        <f t="shared" si="43"/>
        <v>0</v>
      </c>
      <c r="B115" s="220"/>
      <c r="C115" s="11" t="str">
        <f t="shared" si="44"/>
        <v xml:space="preserve"> </v>
      </c>
      <c r="D115" s="20">
        <v>4</v>
      </c>
      <c r="E115" s="96" t="str">
        <f t="shared" si="47"/>
        <v xml:space="preserve"> </v>
      </c>
      <c r="F115" s="269"/>
      <c r="G115" s="216"/>
      <c r="H115" s="270" t="str">
        <f t="shared" si="45"/>
        <v xml:space="preserve"> </v>
      </c>
      <c r="I115" s="220"/>
      <c r="J115" s="90">
        <f t="shared" si="48"/>
        <v>0</v>
      </c>
      <c r="K115" s="26">
        <f t="shared" si="49"/>
        <v>0</v>
      </c>
      <c r="L115" s="27" t="str">
        <f t="shared" si="46"/>
        <v xml:space="preserve"> </v>
      </c>
      <c r="N115" s="73" t="str">
        <f>IF(AND(L112="Y",L113="Y",L114="Y",L115="Y",L116="Y",L117="Y",L118="Y",L119="Y"),"Y","N")</f>
        <v>N</v>
      </c>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row>
    <row r="116" spans="1:49" ht="12" customHeight="1">
      <c r="A116" s="280" t="str">
        <f>IF(G108=4," ",ROUND($D$10/($G$108-1),-0.01))</f>
        <v xml:space="preserve"> </v>
      </c>
      <c r="B116" s="220"/>
      <c r="C116" s="11" t="str">
        <f t="shared" ref="C116:C121" si="50">IF(E116=" "," ",IF(E116&lt;=$D$9,E116/$D$11,E116/$D$12))</f>
        <v xml:space="preserve"> </v>
      </c>
      <c r="D116" s="20">
        <v>5</v>
      </c>
      <c r="E116" s="96" t="str">
        <f t="shared" ref="E116:E117" si="51">IF($G$108&gt;4,IF($E$112=0," ",$E$112)," ")</f>
        <v xml:space="preserve"> </v>
      </c>
      <c r="F116" s="269"/>
      <c r="G116" s="216"/>
      <c r="H116" s="270" t="str">
        <f t="shared" si="45"/>
        <v xml:space="preserve"> </v>
      </c>
      <c r="I116" s="220"/>
      <c r="J116" s="90">
        <f t="shared" si="48"/>
        <v>0</v>
      </c>
      <c r="K116" s="26">
        <f t="shared" si="49"/>
        <v>0</v>
      </c>
      <c r="L116" s="27" t="str">
        <f t="shared" si="46"/>
        <v xml:space="preserve"> </v>
      </c>
      <c r="N116" s="73" t="str">
        <f>IF(AND(L112="Y",L113="Y",L114="Y",L115="Y",L116="Y",L117="Y",L118="Y",L119="Y",L120="Y",L121="Y"),"Y","N")</f>
        <v>N</v>
      </c>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row>
    <row r="117" spans="1:49" ht="12" customHeight="1">
      <c r="A117" s="280" t="str">
        <f>IF(G108=4," ",ROUND($D$10/($G$108-1),-0.01))</f>
        <v xml:space="preserve"> </v>
      </c>
      <c r="B117" s="220"/>
      <c r="C117" s="11" t="str">
        <f t="shared" si="50"/>
        <v xml:space="preserve"> </v>
      </c>
      <c r="D117" s="20">
        <v>6</v>
      </c>
      <c r="E117" s="96" t="str">
        <f t="shared" si="51"/>
        <v xml:space="preserve"> </v>
      </c>
      <c r="F117" s="269"/>
      <c r="G117" s="216"/>
      <c r="H117" s="270" t="str">
        <f t="shared" si="45"/>
        <v xml:space="preserve"> </v>
      </c>
      <c r="I117" s="220"/>
      <c r="J117" s="90">
        <f t="shared" si="48"/>
        <v>0</v>
      </c>
      <c r="K117" s="26">
        <f t="shared" si="49"/>
        <v>0</v>
      </c>
      <c r="L117" s="27" t="str">
        <f t="shared" si="46"/>
        <v xml:space="preserve"> </v>
      </c>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row>
    <row r="118" spans="1:49" ht="12" customHeight="1">
      <c r="A118" s="280" t="str">
        <f>IF(G108&lt;8," ",ROUND($D$10/($G$108-1),-0.01))</f>
        <v xml:space="preserve"> </v>
      </c>
      <c r="B118" s="220"/>
      <c r="C118" s="11" t="str">
        <f t="shared" si="50"/>
        <v xml:space="preserve"> </v>
      </c>
      <c r="D118" s="20">
        <v>7</v>
      </c>
      <c r="E118" s="96" t="str">
        <f t="shared" ref="E118:E119" si="52">IF($G$108&gt;6,IF($E$112=0," ",$E$112)," ")</f>
        <v xml:space="preserve"> </v>
      </c>
      <c r="F118" s="269"/>
      <c r="G118" s="216"/>
      <c r="H118" s="270" t="str">
        <f t="shared" si="45"/>
        <v xml:space="preserve"> </v>
      </c>
      <c r="I118" s="220"/>
      <c r="J118" s="90">
        <f t="shared" si="48"/>
        <v>0</v>
      </c>
      <c r="K118" s="26">
        <f t="shared" si="49"/>
        <v>0</v>
      </c>
      <c r="L118" s="27" t="str">
        <f t="shared" si="46"/>
        <v xml:space="preserve"> </v>
      </c>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row>
    <row r="119" spans="1:49" ht="12" customHeight="1">
      <c r="A119" s="280" t="str">
        <f>IF(G108&lt;8," ",ROUND($D$10/($G$108-1),-0.01))</f>
        <v xml:space="preserve"> </v>
      </c>
      <c r="B119" s="220"/>
      <c r="C119" s="11" t="str">
        <f t="shared" si="50"/>
        <v xml:space="preserve"> </v>
      </c>
      <c r="D119" s="20">
        <v>8</v>
      </c>
      <c r="E119" s="96" t="str">
        <f t="shared" si="52"/>
        <v xml:space="preserve"> </v>
      </c>
      <c r="F119" s="269"/>
      <c r="G119" s="216"/>
      <c r="H119" s="270" t="str">
        <f t="shared" si="45"/>
        <v xml:space="preserve"> </v>
      </c>
      <c r="I119" s="220"/>
      <c r="J119" s="90">
        <f t="shared" si="48"/>
        <v>0</v>
      </c>
      <c r="K119" s="26">
        <f t="shared" si="49"/>
        <v>0</v>
      </c>
      <c r="L119" s="27" t="str">
        <f t="shared" si="46"/>
        <v xml:space="preserve"> </v>
      </c>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row>
    <row r="120" spans="1:49" ht="12" customHeight="1">
      <c r="A120" s="280" t="str">
        <f>IF(G108&lt;10," ",ROUND($D$10/($G$108-1),-0.01))</f>
        <v xml:space="preserve"> </v>
      </c>
      <c r="B120" s="220"/>
      <c r="C120" s="11" t="str">
        <f t="shared" si="50"/>
        <v xml:space="preserve"> </v>
      </c>
      <c r="D120" s="20">
        <v>9</v>
      </c>
      <c r="E120" s="96" t="str">
        <f t="shared" ref="E120:E121" si="53">IF($G$108&gt;8,IF($E$112=0," ",$E$112)," ")</f>
        <v xml:space="preserve"> </v>
      </c>
      <c r="F120" s="269"/>
      <c r="G120" s="216"/>
      <c r="H120" s="270" t="str">
        <f t="shared" si="45"/>
        <v xml:space="preserve"> </v>
      </c>
      <c r="I120" s="220"/>
      <c r="J120" s="90">
        <f t="shared" si="48"/>
        <v>0</v>
      </c>
      <c r="K120" s="26">
        <f t="shared" si="49"/>
        <v>0</v>
      </c>
      <c r="L120" s="27" t="str">
        <f t="shared" si="46"/>
        <v xml:space="preserve"> </v>
      </c>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row>
    <row r="121" spans="1:49" ht="12" customHeight="1">
      <c r="A121" s="280" t="str">
        <f>IF(G108&lt;10," ",ROUND($D$10/($G$108-1),-0.01))</f>
        <v xml:space="preserve"> </v>
      </c>
      <c r="B121" s="220"/>
      <c r="C121" s="11" t="str">
        <f t="shared" si="50"/>
        <v xml:space="preserve"> </v>
      </c>
      <c r="D121" s="20">
        <v>10</v>
      </c>
      <c r="E121" s="96" t="str">
        <f t="shared" si="53"/>
        <v xml:space="preserve"> </v>
      </c>
      <c r="F121" s="269"/>
      <c r="G121" s="216"/>
      <c r="H121" s="270" t="str">
        <f t="shared" si="45"/>
        <v xml:space="preserve"> </v>
      </c>
      <c r="I121" s="220"/>
      <c r="J121" s="90">
        <f t="shared" si="48"/>
        <v>0</v>
      </c>
      <c r="K121" s="26">
        <f t="shared" si="49"/>
        <v>0</v>
      </c>
      <c r="L121" s="27" t="str">
        <f t="shared" si="46"/>
        <v xml:space="preserve"> </v>
      </c>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row>
    <row r="122" spans="1:49" ht="15.75" customHeight="1">
      <c r="A122" s="1"/>
      <c r="B122" s="1"/>
      <c r="C122" s="1"/>
      <c r="D122" s="1"/>
      <c r="E122" s="1"/>
      <c r="F122" s="262"/>
      <c r="G122" s="237"/>
      <c r="H122" s="31"/>
      <c r="I122" s="1"/>
      <c r="J122" s="17"/>
      <c r="K122" s="6" t="str">
        <f>IF($D$14="English","Test passed?","Test bestanden?")</f>
        <v>Test passed?</v>
      </c>
      <c r="L122" s="27" t="str">
        <f>IF($G$108=4,$N$113,IF($G$108=6,$N$114,IF($G$108=8,$N$115,IF($G$108=10,$N$116,"N"))))</f>
        <v>N</v>
      </c>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row>
    <row r="123" spans="1:49" ht="12" customHeight="1">
      <c r="A123" s="1"/>
      <c r="B123" s="1"/>
      <c r="C123" s="1"/>
      <c r="D123" s="1"/>
      <c r="E123" s="1"/>
      <c r="F123" s="43"/>
      <c r="G123" s="43"/>
      <c r="H123" s="31"/>
      <c r="I123" s="1"/>
      <c r="J123" s="17"/>
      <c r="K123" s="6"/>
      <c r="L123" s="17"/>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row>
    <row r="124" spans="1:49" ht="12.75" customHeight="1">
      <c r="A124" s="1"/>
      <c r="B124" s="53"/>
      <c r="C124" s="40"/>
      <c r="D124" s="1"/>
      <c r="E124" s="1"/>
      <c r="F124" s="1"/>
      <c r="G124" s="31"/>
      <c r="H124" s="31"/>
      <c r="I124" s="31"/>
      <c r="J124" s="31"/>
      <c r="K124" s="1"/>
      <c r="L124" s="6"/>
      <c r="M124" s="54"/>
      <c r="N124" s="1"/>
      <c r="O124" s="54"/>
      <c r="P124" s="17"/>
      <c r="Q124" s="17"/>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row>
    <row r="125" spans="1:49" ht="12.75" customHeight="1">
      <c r="A125" s="7" t="str">
        <f>IF($D$14="English","7.  Earth Gravity","7. Fallbeschleunigung")</f>
        <v>7.  Earth Gravity</v>
      </c>
      <c r="B125" s="46"/>
      <c r="C125" s="74"/>
      <c r="D125" s="74"/>
      <c r="E125" s="41"/>
      <c r="F125" s="41"/>
      <c r="G125" s="41"/>
      <c r="H125" s="75"/>
      <c r="I125" s="75"/>
      <c r="J125" s="41"/>
      <c r="K125" s="41"/>
      <c r="L125" s="73"/>
      <c r="M125" s="73"/>
      <c r="N125" s="42"/>
      <c r="O125" s="42"/>
      <c r="P125" s="28"/>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row>
    <row r="126" spans="1:49" ht="12.75" customHeight="1">
      <c r="A126" s="7" t="str">
        <f>IF($D$14="English","Verification for: g=","Prüfung für: g=")</f>
        <v>Verification for: g=</v>
      </c>
      <c r="B126" s="46"/>
      <c r="C126" s="74"/>
      <c r="D126" s="260"/>
      <c r="E126" s="216"/>
      <c r="F126" s="41"/>
      <c r="G126" s="41"/>
      <c r="H126" s="169" t="s">
        <v>80</v>
      </c>
      <c r="I126" s="7" t="str">
        <f>IF($D$14="English","Not required","vernachlässigbar")</f>
        <v>Not required</v>
      </c>
      <c r="J126" s="41"/>
      <c r="K126" s="41"/>
      <c r="L126" s="73"/>
      <c r="M126" s="73"/>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row>
    <row r="127" spans="1:49" ht="12" customHeight="1">
      <c r="A127" s="45"/>
      <c r="B127" s="46"/>
      <c r="C127" s="74"/>
      <c r="D127" s="260"/>
      <c r="E127" s="216"/>
      <c r="F127" s="41"/>
      <c r="G127" s="41"/>
      <c r="H127" s="75"/>
      <c r="I127" s="75"/>
      <c r="J127" s="41"/>
      <c r="K127" s="41"/>
      <c r="L127" s="73"/>
      <c r="M127" s="73"/>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row>
    <row r="128" spans="1:49" ht="12" customHeight="1">
      <c r="A128" s="45"/>
      <c r="B128" s="46"/>
      <c r="C128" s="74"/>
      <c r="D128" s="74"/>
      <c r="E128" s="74"/>
      <c r="F128" s="41"/>
      <c r="G128" s="41"/>
      <c r="H128" s="75"/>
      <c r="I128" s="75"/>
      <c r="J128" s="41"/>
      <c r="K128" s="41"/>
      <c r="L128" s="73"/>
      <c r="M128" s="73"/>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row>
    <row r="129" spans="1:49" ht="12.75" customHeight="1">
      <c r="A129" s="76" t="str">
        <f>IF($D$14="English","place of installation:","Ort der Inbetriebnahme:")</f>
        <v>place of installation:</v>
      </c>
      <c r="B129" s="1"/>
      <c r="C129" s="1"/>
      <c r="D129" s="1"/>
      <c r="E129" s="253"/>
      <c r="F129" s="215"/>
      <c r="G129" s="215"/>
      <c r="H129" s="215"/>
      <c r="I129" s="215"/>
      <c r="J129" s="215"/>
      <c r="K129" s="215"/>
      <c r="L129" s="215"/>
      <c r="M129" s="215"/>
      <c r="N129" s="215"/>
      <c r="O129" s="215"/>
      <c r="P129" s="215"/>
      <c r="Q129" s="26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row>
    <row r="130" spans="1:49" ht="12.75" customHeight="1">
      <c r="A130" s="77"/>
      <c r="B130" s="1"/>
      <c r="C130" s="1"/>
      <c r="D130" s="1"/>
      <c r="E130" s="253"/>
      <c r="F130" s="215"/>
      <c r="G130" s="215"/>
      <c r="H130" s="215"/>
      <c r="I130" s="215"/>
      <c r="J130" s="215"/>
      <c r="K130" s="215"/>
      <c r="L130" s="215"/>
      <c r="M130" s="215"/>
      <c r="N130" s="215"/>
      <c r="O130" s="215"/>
      <c r="P130" s="215"/>
      <c r="Q130" s="26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row>
    <row r="131" spans="1:49" ht="12"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row>
    <row r="132" spans="1:49" ht="12" customHeight="1">
      <c r="A132" s="76" t="str">
        <f>IF($D$14="English","Calibration Counter C:","Kalibrierzähler C:")</f>
        <v>Calibration Counter C:</v>
      </c>
      <c r="B132" s="1"/>
      <c r="C132" s="1"/>
      <c r="D132" s="1"/>
      <c r="E132" s="255"/>
      <c r="F132" s="216"/>
      <c r="G132" s="17"/>
      <c r="H132" s="41"/>
      <c r="I132" s="41"/>
      <c r="J132" s="41"/>
      <c r="K132" s="41"/>
      <c r="L132" s="73"/>
      <c r="M132" s="73"/>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row>
    <row r="133" spans="1:49" ht="12.75" customHeight="1">
      <c r="A133" s="1"/>
      <c r="B133" s="1"/>
      <c r="C133" s="1"/>
      <c r="D133" s="1"/>
      <c r="E133" s="1"/>
      <c r="F133" s="1"/>
      <c r="G133" s="17"/>
      <c r="H133" s="41"/>
      <c r="I133" s="41"/>
      <c r="J133" s="41"/>
      <c r="K133" s="41"/>
      <c r="L133" s="73"/>
      <c r="M133" s="73"/>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row>
    <row r="134" spans="1:49" ht="13.5" customHeight="1">
      <c r="A134" s="78"/>
      <c r="B134" s="78" t="str">
        <f>IF($D$14="English","Note:  If the scale  fails any test, it should not be used!","Anmerkung: Falls ein Test nicht bestanden ist, ist die Waage nicht eichfähig!")</f>
        <v>Note:  If the scale  fails any test, it should not be used!</v>
      </c>
      <c r="C134" s="74"/>
      <c r="D134" s="41"/>
      <c r="E134" s="41"/>
      <c r="F134" s="4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row>
    <row r="135" spans="1:49" ht="12.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row>
    <row r="136" spans="1:49" ht="12.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row>
    <row r="137" spans="1:49" ht="17.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row>
    <row r="138" spans="1:49" ht="12.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row>
    <row r="139" spans="1:49" ht="12.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row>
    <row r="140" spans="1:49" ht="15" customHeight="1">
      <c r="A140" s="1"/>
      <c r="B140" s="79"/>
      <c r="C140" s="80"/>
      <c r="D140" s="80"/>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row>
    <row r="141" spans="1:49" ht="12.75" customHeight="1">
      <c r="A141" s="1"/>
      <c r="B141" s="23"/>
      <c r="C141" s="23"/>
      <c r="D141" s="23"/>
      <c r="E141" s="1"/>
      <c r="F141" s="8"/>
      <c r="G141" s="1"/>
      <c r="H141" s="81"/>
      <c r="I141" s="13"/>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row>
    <row r="142" spans="1:49" ht="12.75" customHeight="1">
      <c r="A142" s="1"/>
      <c r="B142" s="23"/>
      <c r="C142" s="23"/>
      <c r="D142" s="23"/>
      <c r="E142" s="1"/>
      <c r="F142" s="8"/>
      <c r="G142" s="1"/>
      <c r="H142" s="81"/>
      <c r="I142" s="13"/>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row>
    <row r="143" spans="1:49" ht="13.5" customHeight="1">
      <c r="A143" s="1"/>
      <c r="B143" s="23"/>
      <c r="C143" s="23"/>
      <c r="D143" s="23"/>
      <c r="E143" s="1"/>
      <c r="F143" s="8"/>
      <c r="G143" s="1"/>
      <c r="H143" s="81"/>
      <c r="I143" s="13"/>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row>
    <row r="144" spans="1:49" ht="12.75" customHeight="1">
      <c r="A144" s="1"/>
      <c r="B144" s="23"/>
      <c r="C144" s="23"/>
      <c r="D144" s="23"/>
      <c r="E144" s="1"/>
      <c r="F144" s="8"/>
      <c r="G144" s="1"/>
      <c r="H144" s="81"/>
      <c r="I144" s="13"/>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row>
    <row r="145" spans="1:49" ht="12.75" customHeight="1">
      <c r="A145" s="1"/>
      <c r="B145" s="23"/>
      <c r="C145" s="23"/>
      <c r="D145" s="23"/>
      <c r="E145" s="1"/>
      <c r="F145" s="8"/>
      <c r="G145" s="1"/>
      <c r="H145" s="81"/>
      <c r="I145" s="13"/>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row>
    <row r="146" spans="1:49" ht="12" customHeight="1">
      <c r="A146" s="1"/>
      <c r="B146" s="23"/>
      <c r="C146" s="23"/>
      <c r="D146" s="23"/>
      <c r="E146" s="1"/>
      <c r="F146" s="8"/>
      <c r="G146" s="1"/>
      <c r="H146" s="81"/>
      <c r="I146" s="13"/>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row>
    <row r="147" spans="1:49" ht="12" customHeight="1">
      <c r="A147" s="1"/>
      <c r="B147" s="23"/>
      <c r="C147" s="23"/>
      <c r="D147" s="23"/>
      <c r="E147" s="1"/>
      <c r="F147" s="8"/>
      <c r="G147" s="1"/>
      <c r="H147" s="81"/>
      <c r="I147" s="13"/>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row>
    <row r="148" spans="1:49" ht="12" customHeight="1">
      <c r="A148" s="1"/>
      <c r="B148" s="23"/>
      <c r="C148" s="23"/>
      <c r="D148" s="23"/>
      <c r="E148" s="1"/>
      <c r="F148" s="8"/>
      <c r="G148" s="1"/>
      <c r="H148" s="81"/>
      <c r="I148" s="13"/>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row>
    <row r="149" spans="1:49" ht="12" customHeight="1">
      <c r="A149" s="1"/>
      <c r="B149" s="23"/>
      <c r="C149" s="23"/>
      <c r="D149" s="23"/>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row>
    <row r="150" spans="1:49" ht="12" customHeight="1">
      <c r="A150" s="1"/>
      <c r="B150" s="23"/>
      <c r="C150" s="23"/>
      <c r="D150" s="23"/>
      <c r="E150" s="1"/>
      <c r="F150" s="8"/>
      <c r="G150" s="1"/>
      <c r="H150" s="81"/>
      <c r="I150" s="13"/>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row>
    <row r="151" spans="1:49" ht="12" customHeight="1">
      <c r="A151" s="1"/>
      <c r="B151" s="23"/>
      <c r="C151" s="23"/>
      <c r="D151" s="23"/>
      <c r="E151" s="1"/>
      <c r="F151" s="8"/>
      <c r="G151" s="1"/>
      <c r="H151" s="81"/>
      <c r="I151" s="13"/>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row>
    <row r="152" spans="1:49" ht="12" customHeight="1">
      <c r="A152" s="1"/>
      <c r="B152" s="23"/>
      <c r="C152" s="23"/>
      <c r="D152" s="23"/>
      <c r="E152" s="1"/>
      <c r="F152" s="8"/>
      <c r="G152" s="1"/>
      <c r="H152" s="81"/>
      <c r="I152" s="13"/>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row>
    <row r="153" spans="1:49" ht="12" customHeight="1">
      <c r="A153" s="1"/>
      <c r="B153" s="23"/>
      <c r="C153" s="23"/>
      <c r="D153" s="23"/>
      <c r="E153" s="1"/>
      <c r="F153" s="8"/>
      <c r="G153" s="1"/>
      <c r="H153" s="81"/>
      <c r="I153" s="13"/>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row>
    <row r="154" spans="1:49" ht="12" customHeight="1">
      <c r="A154" s="1"/>
      <c r="B154" s="23"/>
      <c r="C154" s="23"/>
      <c r="D154" s="23"/>
      <c r="E154" s="1"/>
      <c r="F154" s="8"/>
      <c r="G154" s="1"/>
      <c r="H154" s="81"/>
      <c r="I154" s="13"/>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row>
    <row r="155" spans="1:49" ht="12" customHeight="1">
      <c r="A155" s="1"/>
      <c r="B155" s="23"/>
      <c r="C155" s="23"/>
      <c r="D155" s="23"/>
      <c r="E155" s="1"/>
      <c r="F155" s="8"/>
      <c r="G155" s="1"/>
      <c r="H155" s="81"/>
      <c r="I155" s="13"/>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row>
    <row r="156" spans="1:49" ht="12" customHeight="1">
      <c r="A156" s="1"/>
      <c r="B156" s="23"/>
      <c r="C156" s="23"/>
      <c r="D156" s="23"/>
      <c r="E156" s="1"/>
      <c r="F156" s="8"/>
      <c r="G156" s="1"/>
      <c r="H156" s="81"/>
      <c r="I156" s="13"/>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row>
    <row r="157" spans="1:49" ht="12" customHeight="1">
      <c r="A157" s="1"/>
      <c r="B157" s="23"/>
      <c r="C157" s="23"/>
      <c r="D157" s="23"/>
      <c r="E157" s="1"/>
      <c r="F157" s="8"/>
      <c r="G157" s="1"/>
      <c r="H157" s="81"/>
      <c r="I157" s="13"/>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row>
    <row r="158" spans="1:49" ht="12" customHeight="1">
      <c r="A158" s="1"/>
      <c r="B158" s="23"/>
      <c r="C158" s="23"/>
      <c r="D158" s="23"/>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row>
    <row r="159" spans="1:49" ht="12" customHeight="1">
      <c r="A159" s="1"/>
      <c r="B159" s="23"/>
      <c r="C159" s="23"/>
      <c r="D159" s="23"/>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row>
    <row r="160" spans="1:49" ht="12" customHeight="1">
      <c r="A160" s="1"/>
      <c r="B160" s="23"/>
      <c r="C160" s="23"/>
      <c r="D160" s="23"/>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row>
    <row r="161" spans="1:49" ht="12" customHeight="1">
      <c r="A161" s="1"/>
      <c r="B161" s="23"/>
      <c r="C161" s="23"/>
      <c r="D161" s="23"/>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row>
    <row r="162" spans="1:49" ht="12" customHeight="1">
      <c r="A162" s="1"/>
      <c r="B162" s="23"/>
      <c r="C162" s="23"/>
      <c r="D162" s="23"/>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row>
    <row r="163" spans="1:49" ht="12" customHeight="1">
      <c r="A163" s="1"/>
      <c r="B163" s="23"/>
      <c r="C163" s="23"/>
      <c r="D163" s="23"/>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row>
    <row r="164" spans="1:49" ht="12" customHeight="1">
      <c r="A164" s="1"/>
      <c r="B164" s="23"/>
      <c r="C164" s="23"/>
      <c r="D164" s="23"/>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row>
    <row r="165" spans="1:49" ht="12" customHeight="1">
      <c r="A165" s="1"/>
      <c r="B165" s="23"/>
      <c r="C165" s="23"/>
      <c r="D165" s="23"/>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row>
    <row r="166" spans="1:49" ht="12" customHeight="1">
      <c r="A166" s="1"/>
      <c r="B166" s="23"/>
      <c r="C166" s="23"/>
      <c r="D166" s="23"/>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row>
    <row r="167" spans="1:49" ht="12" customHeight="1">
      <c r="A167" s="1"/>
      <c r="B167" s="23"/>
      <c r="C167" s="23"/>
      <c r="D167" s="23"/>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row>
    <row r="168" spans="1:49" ht="12" customHeight="1">
      <c r="A168" s="1"/>
      <c r="B168" s="23"/>
      <c r="C168" s="23"/>
      <c r="D168" s="23"/>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row>
    <row r="169" spans="1:49" ht="12" customHeight="1">
      <c r="A169" s="1"/>
      <c r="B169" s="23"/>
      <c r="C169" s="23"/>
      <c r="D169" s="23"/>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row>
    <row r="170" spans="1:49" ht="12" customHeight="1">
      <c r="A170" s="1"/>
      <c r="B170" s="23"/>
      <c r="C170" s="23"/>
      <c r="D170" s="23"/>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row>
    <row r="171" spans="1:49" ht="12" customHeight="1">
      <c r="A171" s="1"/>
      <c r="B171" s="23"/>
      <c r="C171" s="23"/>
      <c r="D171" s="23"/>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row>
    <row r="172" spans="1:49" ht="12" customHeight="1">
      <c r="A172" s="1"/>
      <c r="B172" s="23"/>
      <c r="C172" s="23"/>
      <c r="D172" s="23"/>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row>
    <row r="173" spans="1:49" ht="12" customHeight="1">
      <c r="A173" s="1"/>
      <c r="B173" s="23"/>
      <c r="C173" s="23"/>
      <c r="D173" s="23"/>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row>
    <row r="174" spans="1:49" ht="12" customHeight="1">
      <c r="A174" s="1"/>
      <c r="B174" s="23"/>
      <c r="C174" s="23"/>
      <c r="D174" s="23"/>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row>
    <row r="175" spans="1:49" ht="12" customHeight="1">
      <c r="A175" s="1"/>
      <c r="B175" s="23"/>
      <c r="C175" s="23"/>
      <c r="D175" s="23"/>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row>
    <row r="176" spans="1:49" ht="12" customHeight="1">
      <c r="A176" s="1"/>
      <c r="B176" s="23"/>
      <c r="C176" s="23"/>
      <c r="D176" s="23"/>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row>
    <row r="177" spans="1:49" ht="12" customHeight="1">
      <c r="A177" s="1"/>
      <c r="B177" s="23"/>
      <c r="C177" s="23"/>
      <c r="D177" s="23"/>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row>
    <row r="178" spans="1:49" ht="12" customHeight="1">
      <c r="A178" s="1"/>
      <c r="B178" s="23"/>
      <c r="C178" s="23"/>
      <c r="D178" s="23"/>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row>
    <row r="179" spans="1:49" ht="12" customHeight="1">
      <c r="A179" s="1"/>
      <c r="B179" s="23"/>
      <c r="C179" s="23"/>
      <c r="D179" s="23"/>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row>
    <row r="180" spans="1:49" ht="12" customHeight="1">
      <c r="A180" s="1"/>
      <c r="B180" s="23"/>
      <c r="C180" s="23"/>
      <c r="D180" s="23"/>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row>
    <row r="181" spans="1:49" ht="12" customHeight="1">
      <c r="A181" s="1"/>
      <c r="B181" s="23"/>
      <c r="C181" s="23"/>
      <c r="D181" s="23"/>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row>
    <row r="182" spans="1:49" ht="12" customHeight="1">
      <c r="A182" s="1"/>
      <c r="B182" s="23"/>
      <c r="C182" s="23"/>
      <c r="D182" s="23"/>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row>
    <row r="183" spans="1:49" ht="12" customHeight="1">
      <c r="A183" s="1"/>
      <c r="B183" s="23"/>
      <c r="C183" s="23"/>
      <c r="D183" s="23"/>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row>
    <row r="184" spans="1:49" ht="12" customHeight="1">
      <c r="A184" s="1"/>
      <c r="B184" s="23"/>
      <c r="C184" s="23"/>
      <c r="D184" s="23"/>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row>
    <row r="185" spans="1:49" ht="12" customHeight="1">
      <c r="A185" s="1"/>
      <c r="B185" s="23"/>
      <c r="C185" s="23"/>
      <c r="D185" s="23"/>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row>
    <row r="186" spans="1:49" ht="12" customHeight="1">
      <c r="A186" s="1"/>
      <c r="B186" s="23"/>
      <c r="C186" s="23"/>
      <c r="D186" s="23"/>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row>
    <row r="187" spans="1:49" ht="12" customHeight="1">
      <c r="A187" s="1"/>
      <c r="B187" s="23"/>
      <c r="C187" s="23"/>
      <c r="D187" s="23"/>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row>
    <row r="188" spans="1:49" ht="12" customHeight="1">
      <c r="A188" s="1"/>
      <c r="B188" s="23"/>
      <c r="C188" s="23"/>
      <c r="D188" s="23"/>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row>
    <row r="189" spans="1:49" ht="12" customHeight="1">
      <c r="A189" s="1"/>
      <c r="B189" s="23"/>
      <c r="C189" s="23"/>
      <c r="D189" s="23"/>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row>
    <row r="190" spans="1:49" ht="12" customHeight="1">
      <c r="A190" s="1"/>
      <c r="B190" s="23"/>
      <c r="C190" s="23"/>
      <c r="D190" s="23"/>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row>
    <row r="191" spans="1:49" ht="12" customHeight="1">
      <c r="A191" s="1"/>
      <c r="B191" s="23"/>
      <c r="C191" s="23"/>
      <c r="D191" s="23"/>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row>
    <row r="192" spans="1:49" ht="12" customHeight="1">
      <c r="A192" s="1"/>
      <c r="B192" s="23"/>
      <c r="C192" s="23"/>
      <c r="D192" s="23"/>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row>
    <row r="193" spans="1:49" ht="12" customHeight="1">
      <c r="A193" s="1"/>
      <c r="B193" s="23"/>
      <c r="C193" s="23"/>
      <c r="D193" s="23"/>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row>
    <row r="194" spans="1:49" ht="12" customHeight="1">
      <c r="A194" s="1"/>
      <c r="B194" s="23"/>
      <c r="C194" s="23"/>
      <c r="D194" s="23"/>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row>
    <row r="195" spans="1:49" ht="12" customHeight="1">
      <c r="A195" s="1"/>
      <c r="B195" s="23"/>
      <c r="C195" s="23"/>
      <c r="D195" s="23"/>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row>
    <row r="196" spans="1:49" ht="12" customHeight="1">
      <c r="A196" s="1"/>
      <c r="B196" s="23"/>
      <c r="C196" s="23"/>
      <c r="D196" s="23"/>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row>
    <row r="197" spans="1:49" ht="12" customHeight="1">
      <c r="A197" s="1"/>
      <c r="B197" s="23"/>
      <c r="C197" s="23"/>
      <c r="D197" s="23"/>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row>
    <row r="198" spans="1:49" ht="12" customHeight="1">
      <c r="A198" s="1"/>
      <c r="B198" s="23"/>
      <c r="C198" s="23"/>
      <c r="D198" s="23"/>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row>
    <row r="199" spans="1:49" ht="12" customHeight="1">
      <c r="A199" s="1"/>
      <c r="B199" s="23"/>
      <c r="C199" s="23"/>
      <c r="D199" s="23"/>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row>
    <row r="200" spans="1:49" ht="12" customHeight="1">
      <c r="A200" s="1"/>
      <c r="B200" s="23"/>
      <c r="C200" s="23"/>
      <c r="D200" s="23"/>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row>
    <row r="201" spans="1:49" ht="12" customHeight="1">
      <c r="A201" s="1"/>
      <c r="B201" s="23"/>
      <c r="C201" s="23"/>
      <c r="D201" s="23"/>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row>
    <row r="202" spans="1:49" ht="12" customHeight="1">
      <c r="A202" s="1"/>
      <c r="B202" s="23"/>
      <c r="C202" s="23"/>
      <c r="D202" s="23"/>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row>
    <row r="203" spans="1:49" ht="12" customHeight="1">
      <c r="A203" s="1"/>
      <c r="B203" s="23"/>
      <c r="C203" s="23"/>
      <c r="D203" s="23"/>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row>
    <row r="204" spans="1:49" ht="12" customHeight="1">
      <c r="A204" s="1"/>
      <c r="B204" s="23"/>
      <c r="C204" s="23"/>
      <c r="D204" s="23"/>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row>
    <row r="205" spans="1:49" ht="12" customHeight="1">
      <c r="A205" s="1"/>
      <c r="B205" s="23"/>
      <c r="C205" s="23"/>
      <c r="D205" s="23"/>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row>
    <row r="206" spans="1:49" ht="12" customHeight="1">
      <c r="A206" s="1"/>
      <c r="B206" s="23"/>
      <c r="C206" s="23"/>
      <c r="D206" s="23"/>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row>
    <row r="207" spans="1:49" ht="12" customHeight="1">
      <c r="A207" s="1"/>
      <c r="B207" s="23"/>
      <c r="C207" s="23"/>
      <c r="D207" s="23"/>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row>
    <row r="208" spans="1:49" ht="12" customHeight="1">
      <c r="A208" s="1"/>
      <c r="B208" s="23"/>
      <c r="C208" s="23"/>
      <c r="D208" s="23"/>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row>
    <row r="209" spans="1:49" ht="12" customHeight="1">
      <c r="A209" s="1"/>
      <c r="B209" s="23"/>
      <c r="C209" s="23"/>
      <c r="D209" s="23"/>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row>
    <row r="210" spans="1:49" ht="12" customHeight="1">
      <c r="A210" s="1"/>
      <c r="B210" s="23"/>
      <c r="C210" s="23"/>
      <c r="D210" s="23"/>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row>
    <row r="211" spans="1:49" ht="12" customHeight="1">
      <c r="A211" s="1"/>
      <c r="B211" s="23"/>
      <c r="C211" s="23"/>
      <c r="D211" s="23"/>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row>
    <row r="212" spans="1:49" ht="12" customHeight="1">
      <c r="A212" s="1"/>
      <c r="B212" s="23"/>
      <c r="C212" s="23"/>
      <c r="D212" s="23"/>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row>
    <row r="213" spans="1:49" ht="12" customHeight="1">
      <c r="A213" s="1"/>
      <c r="B213" s="23"/>
      <c r="C213" s="23"/>
      <c r="D213" s="23"/>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row>
    <row r="214" spans="1:49" ht="12" customHeight="1">
      <c r="A214" s="1"/>
      <c r="B214" s="23"/>
      <c r="C214" s="23"/>
      <c r="D214" s="23"/>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row>
    <row r="215" spans="1:49" ht="12" customHeight="1">
      <c r="A215" s="1"/>
      <c r="B215" s="23"/>
      <c r="C215" s="23"/>
      <c r="D215" s="23"/>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row>
    <row r="216" spans="1:49" ht="12" customHeight="1">
      <c r="A216" s="1"/>
      <c r="B216" s="23"/>
      <c r="C216" s="23"/>
      <c r="D216" s="23"/>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row>
    <row r="217" spans="1:49" ht="12" customHeight="1">
      <c r="A217" s="1"/>
      <c r="B217" s="23"/>
      <c r="C217" s="23"/>
      <c r="D217" s="23"/>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row>
    <row r="218" spans="1:49" ht="12" customHeight="1">
      <c r="A218" s="1"/>
      <c r="B218" s="23"/>
      <c r="C218" s="23"/>
      <c r="D218" s="23"/>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row>
    <row r="219" spans="1:49" ht="12" customHeight="1">
      <c r="A219" s="1"/>
      <c r="B219" s="23"/>
      <c r="C219" s="23"/>
      <c r="D219" s="23"/>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row>
    <row r="220" spans="1:49" ht="12" customHeight="1">
      <c r="A220" s="1"/>
      <c r="B220" s="23"/>
      <c r="C220" s="23"/>
      <c r="D220" s="23"/>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row>
    <row r="221" spans="1:49" ht="12" customHeight="1">
      <c r="A221" s="1"/>
      <c r="B221" s="23"/>
      <c r="C221" s="23"/>
      <c r="D221" s="23"/>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row>
    <row r="222" spans="1:49" ht="12" customHeight="1">
      <c r="A222" s="1"/>
      <c r="B222" s="23"/>
      <c r="C222" s="23"/>
      <c r="D222" s="23"/>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row>
    <row r="223" spans="1:49" ht="12" customHeight="1">
      <c r="A223" s="1"/>
      <c r="B223" s="23"/>
      <c r="C223" s="23"/>
      <c r="D223" s="23"/>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row>
    <row r="224" spans="1:49" ht="12" customHeight="1">
      <c r="A224" s="1"/>
      <c r="B224" s="23"/>
      <c r="C224" s="23"/>
      <c r="D224" s="23"/>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row>
    <row r="225" spans="1:49" ht="12" customHeight="1">
      <c r="A225" s="1"/>
      <c r="B225" s="23"/>
      <c r="C225" s="23"/>
      <c r="D225" s="23"/>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row>
    <row r="226" spans="1:49" ht="12" customHeight="1">
      <c r="A226" s="1"/>
      <c r="B226" s="23"/>
      <c r="C226" s="23"/>
      <c r="D226" s="23"/>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row>
    <row r="227" spans="1:49" ht="12" customHeight="1">
      <c r="A227" s="1"/>
      <c r="B227" s="23"/>
      <c r="C227" s="23"/>
      <c r="D227" s="23"/>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row>
    <row r="228" spans="1:49" ht="12" customHeight="1">
      <c r="A228" s="1"/>
      <c r="B228" s="23"/>
      <c r="C228" s="23"/>
      <c r="D228" s="23"/>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row>
    <row r="229" spans="1:49" ht="12" customHeight="1">
      <c r="A229" s="1"/>
      <c r="B229" s="23"/>
      <c r="C229" s="23"/>
      <c r="D229" s="23"/>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row>
    <row r="230" spans="1:49" ht="12" customHeight="1">
      <c r="A230" s="1"/>
      <c r="B230" s="23"/>
      <c r="C230" s="23"/>
      <c r="D230" s="23"/>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row>
    <row r="231" spans="1:49" ht="12" customHeight="1">
      <c r="A231" s="1"/>
      <c r="B231" s="23"/>
      <c r="C231" s="23"/>
      <c r="D231" s="23"/>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row>
    <row r="232" spans="1:49" ht="12" customHeight="1">
      <c r="A232" s="1"/>
      <c r="B232" s="23"/>
      <c r="C232" s="23"/>
      <c r="D232" s="23"/>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row>
    <row r="233" spans="1:49" ht="12" customHeight="1">
      <c r="A233" s="1"/>
      <c r="B233" s="23"/>
      <c r="C233" s="23"/>
      <c r="D233" s="23"/>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row>
    <row r="234" spans="1:49" ht="12" customHeight="1">
      <c r="A234" s="1"/>
      <c r="B234" s="23"/>
      <c r="C234" s="23"/>
      <c r="D234" s="23"/>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row>
    <row r="235" spans="1:49" ht="12" customHeight="1">
      <c r="A235" s="1"/>
      <c r="B235" s="23"/>
      <c r="C235" s="23"/>
      <c r="D235" s="23"/>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row>
    <row r="236" spans="1:49" ht="12" customHeight="1">
      <c r="A236" s="1"/>
      <c r="B236" s="23"/>
      <c r="C236" s="23"/>
      <c r="D236" s="23"/>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row>
    <row r="237" spans="1:49" ht="12" customHeight="1">
      <c r="A237" s="1"/>
      <c r="B237" s="23"/>
      <c r="C237" s="23"/>
      <c r="D237" s="23"/>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row>
    <row r="238" spans="1:49" ht="12" customHeight="1">
      <c r="A238" s="1"/>
      <c r="B238" s="23"/>
      <c r="C238" s="23"/>
      <c r="D238" s="23"/>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row>
    <row r="239" spans="1:49" ht="12" customHeight="1">
      <c r="A239" s="1"/>
      <c r="B239" s="23"/>
      <c r="C239" s="23"/>
      <c r="D239" s="23"/>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row>
    <row r="240" spans="1:49" ht="12" customHeight="1">
      <c r="A240" s="1"/>
      <c r="B240" s="23"/>
      <c r="C240" s="23"/>
      <c r="D240" s="23"/>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row>
    <row r="241" spans="1:49" ht="12" customHeight="1">
      <c r="A241" s="1"/>
      <c r="B241" s="23"/>
      <c r="C241" s="23"/>
      <c r="D241" s="23"/>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row>
    <row r="242" spans="1:49" ht="12" customHeight="1">
      <c r="A242" s="1"/>
      <c r="B242" s="23"/>
      <c r="C242" s="23"/>
      <c r="D242" s="23"/>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row>
    <row r="243" spans="1:49" ht="12" customHeight="1">
      <c r="A243" s="1"/>
      <c r="B243" s="23"/>
      <c r="C243" s="23"/>
      <c r="D243" s="23"/>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row>
    <row r="244" spans="1:49" ht="12" customHeight="1">
      <c r="A244" s="1"/>
      <c r="B244" s="23"/>
      <c r="C244" s="23"/>
      <c r="D244" s="23"/>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row>
    <row r="245" spans="1:49" ht="12" customHeight="1">
      <c r="A245" s="1"/>
      <c r="B245" s="23"/>
      <c r="C245" s="23"/>
      <c r="D245" s="23"/>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row>
    <row r="246" spans="1:49" ht="12" customHeight="1">
      <c r="A246" s="1"/>
      <c r="B246" s="23"/>
      <c r="C246" s="23"/>
      <c r="D246" s="23"/>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row>
    <row r="247" spans="1:49" ht="12" customHeight="1">
      <c r="A247" s="1"/>
      <c r="B247" s="23"/>
      <c r="C247" s="23"/>
      <c r="D247" s="23"/>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row>
    <row r="248" spans="1:49" ht="12" customHeight="1">
      <c r="A248" s="1"/>
      <c r="B248" s="23"/>
      <c r="C248" s="23"/>
      <c r="D248" s="23"/>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row>
    <row r="249" spans="1:49" ht="12" customHeight="1">
      <c r="A249" s="1"/>
      <c r="B249" s="23"/>
      <c r="C249" s="23"/>
      <c r="D249" s="23"/>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row>
    <row r="250" spans="1:49" ht="12" customHeight="1">
      <c r="A250" s="1"/>
      <c r="B250" s="23"/>
      <c r="C250" s="23"/>
      <c r="D250" s="23"/>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row>
    <row r="251" spans="1:49" ht="12" customHeight="1">
      <c r="A251" s="1"/>
      <c r="B251" s="23"/>
      <c r="C251" s="23"/>
      <c r="D251" s="23"/>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row>
    <row r="252" spans="1:49" ht="12" customHeight="1">
      <c r="A252" s="1"/>
      <c r="B252" s="23"/>
      <c r="C252" s="23"/>
      <c r="D252" s="23"/>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row>
    <row r="253" spans="1:49" ht="12" customHeight="1">
      <c r="A253" s="1"/>
      <c r="B253" s="23"/>
      <c r="C253" s="23"/>
      <c r="D253" s="23"/>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row>
    <row r="254" spans="1:49" ht="12" customHeight="1">
      <c r="A254" s="1"/>
      <c r="B254" s="23"/>
      <c r="C254" s="23"/>
      <c r="D254" s="23"/>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row>
    <row r="255" spans="1:49" ht="12" customHeight="1">
      <c r="A255" s="1"/>
      <c r="B255" s="23"/>
      <c r="C255" s="23"/>
      <c r="D255" s="23"/>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row>
    <row r="256" spans="1:49" ht="12" customHeight="1">
      <c r="A256" s="1"/>
      <c r="B256" s="23"/>
      <c r="C256" s="23"/>
      <c r="D256" s="23"/>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row>
    <row r="257" spans="1:49" ht="12" customHeight="1">
      <c r="A257" s="1"/>
      <c r="B257" s="23"/>
      <c r="C257" s="23"/>
      <c r="D257" s="23"/>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row>
    <row r="258" spans="1:49" ht="12" customHeight="1">
      <c r="A258" s="1"/>
      <c r="B258" s="23"/>
      <c r="C258" s="23"/>
      <c r="D258" s="23"/>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row>
    <row r="259" spans="1:49" ht="12" customHeight="1">
      <c r="A259" s="1"/>
      <c r="B259" s="23"/>
      <c r="C259" s="23"/>
      <c r="D259" s="23"/>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row>
    <row r="260" spans="1:49" ht="12" customHeight="1">
      <c r="A260" s="1"/>
      <c r="B260" s="23"/>
      <c r="C260" s="23"/>
      <c r="D260" s="23"/>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row>
    <row r="261" spans="1:49" ht="12" customHeight="1">
      <c r="A261" s="1"/>
      <c r="B261" s="23"/>
      <c r="C261" s="23"/>
      <c r="D261" s="23"/>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row>
    <row r="262" spans="1:49" ht="12" customHeight="1">
      <c r="A262" s="1"/>
      <c r="B262" s="23"/>
      <c r="C262" s="23"/>
      <c r="D262" s="23"/>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row>
    <row r="263" spans="1:49" ht="12" customHeight="1">
      <c r="A263" s="1"/>
      <c r="B263" s="23"/>
      <c r="C263" s="23"/>
      <c r="D263" s="23"/>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row>
    <row r="264" spans="1:49" ht="12" customHeight="1">
      <c r="A264" s="1"/>
      <c r="B264" s="23"/>
      <c r="C264" s="23"/>
      <c r="D264" s="23"/>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row>
    <row r="265" spans="1:49" ht="12" customHeight="1">
      <c r="A265" s="1"/>
      <c r="B265" s="23"/>
      <c r="C265" s="23"/>
      <c r="D265" s="23"/>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row>
    <row r="266" spans="1:49" ht="12" customHeight="1">
      <c r="A266" s="1"/>
      <c r="B266" s="23"/>
      <c r="C266" s="23"/>
      <c r="D266" s="23"/>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row>
    <row r="267" spans="1:49" ht="12" customHeight="1">
      <c r="A267" s="1"/>
      <c r="B267" s="23"/>
      <c r="C267" s="23"/>
      <c r="D267" s="23"/>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row>
    <row r="268" spans="1:49" ht="12" customHeight="1">
      <c r="A268" s="1"/>
      <c r="B268" s="23"/>
      <c r="C268" s="23"/>
      <c r="D268" s="23"/>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row>
    <row r="269" spans="1:49" ht="12" customHeight="1">
      <c r="A269" s="1"/>
      <c r="B269" s="23"/>
      <c r="C269" s="23"/>
      <c r="D269" s="23"/>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row>
    <row r="270" spans="1:49" ht="12" customHeight="1">
      <c r="A270" s="1"/>
      <c r="B270" s="23"/>
      <c r="C270" s="23"/>
      <c r="D270" s="23"/>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row>
    <row r="271" spans="1:49" ht="12" customHeight="1">
      <c r="A271" s="1"/>
      <c r="B271" s="23"/>
      <c r="C271" s="23"/>
      <c r="D271" s="23"/>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row>
    <row r="272" spans="1:49" ht="12" customHeight="1">
      <c r="A272" s="1"/>
      <c r="B272" s="23"/>
      <c r="C272" s="23"/>
      <c r="D272" s="23"/>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row>
    <row r="273" spans="1:49" ht="12" customHeight="1">
      <c r="A273" s="1"/>
      <c r="B273" s="23"/>
      <c r="C273" s="23"/>
      <c r="D273" s="23"/>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row>
    <row r="274" spans="1:49" ht="12" customHeight="1">
      <c r="A274" s="1"/>
      <c r="B274" s="23"/>
      <c r="C274" s="23"/>
      <c r="D274" s="23"/>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row>
    <row r="275" spans="1:49" ht="12" customHeight="1">
      <c r="A275" s="1"/>
      <c r="B275" s="23"/>
      <c r="C275" s="23"/>
      <c r="D275" s="23"/>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row>
    <row r="276" spans="1:49" ht="12" customHeight="1">
      <c r="A276" s="1"/>
      <c r="B276" s="23"/>
      <c r="C276" s="23"/>
      <c r="D276" s="23"/>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row>
    <row r="277" spans="1:49" ht="12" customHeight="1">
      <c r="A277" s="1"/>
      <c r="B277" s="23"/>
      <c r="C277" s="23"/>
      <c r="D277" s="23"/>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row>
    <row r="278" spans="1:49" ht="12" customHeight="1">
      <c r="A278" s="1"/>
      <c r="B278" s="23"/>
      <c r="C278" s="23"/>
      <c r="D278" s="23"/>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row>
    <row r="279" spans="1:49" ht="12" customHeight="1">
      <c r="A279" s="1"/>
      <c r="B279" s="23"/>
      <c r="C279" s="23"/>
      <c r="D279" s="23"/>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row>
    <row r="280" spans="1:49" ht="12" customHeight="1">
      <c r="A280" s="1"/>
      <c r="B280" s="23"/>
      <c r="C280" s="23"/>
      <c r="D280" s="23"/>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row>
    <row r="281" spans="1:49" ht="12" customHeight="1">
      <c r="A281" s="1"/>
      <c r="B281" s="23"/>
      <c r="C281" s="23"/>
      <c r="D281" s="23"/>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row>
    <row r="282" spans="1:49" ht="12" customHeight="1">
      <c r="A282" s="1"/>
      <c r="B282" s="23"/>
      <c r="C282" s="23"/>
      <c r="D282" s="23"/>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row>
    <row r="283" spans="1:49" ht="12" customHeight="1">
      <c r="A283" s="1"/>
      <c r="B283" s="23"/>
      <c r="C283" s="23"/>
      <c r="D283" s="23"/>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row>
    <row r="284" spans="1:49" ht="12" customHeight="1">
      <c r="A284" s="1"/>
      <c r="B284" s="23"/>
      <c r="C284" s="23"/>
      <c r="D284" s="23"/>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row>
    <row r="285" spans="1:49" ht="12" customHeight="1">
      <c r="A285" s="1"/>
      <c r="B285" s="23"/>
      <c r="C285" s="23"/>
      <c r="D285" s="23"/>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row>
    <row r="286" spans="1:49" ht="12" customHeight="1">
      <c r="A286" s="1"/>
      <c r="B286" s="23"/>
      <c r="C286" s="23"/>
      <c r="D286" s="23"/>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row>
    <row r="287" spans="1:49" ht="12" customHeight="1">
      <c r="A287" s="1"/>
      <c r="B287" s="23"/>
      <c r="C287" s="23"/>
      <c r="D287" s="23"/>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row>
    <row r="288" spans="1:49" ht="12" customHeight="1">
      <c r="A288" s="1"/>
      <c r="B288" s="23"/>
      <c r="C288" s="23"/>
      <c r="D288" s="23"/>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row>
    <row r="289" spans="1:49" ht="12" customHeight="1">
      <c r="A289" s="1"/>
      <c r="B289" s="23"/>
      <c r="C289" s="23"/>
      <c r="D289" s="23"/>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row>
    <row r="290" spans="1:49" ht="12" customHeight="1">
      <c r="A290" s="1"/>
      <c r="B290" s="23"/>
      <c r="C290" s="23"/>
      <c r="D290" s="23"/>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row>
    <row r="291" spans="1:49" ht="12" customHeight="1">
      <c r="A291" s="1"/>
      <c r="B291" s="23"/>
      <c r="C291" s="23"/>
      <c r="D291" s="23"/>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row>
    <row r="292" spans="1:49" ht="12" customHeight="1">
      <c r="A292" s="1"/>
      <c r="B292" s="23"/>
      <c r="C292" s="23"/>
      <c r="D292" s="23"/>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row>
    <row r="293" spans="1:49" ht="12" customHeight="1">
      <c r="A293" s="1"/>
      <c r="B293" s="23"/>
      <c r="C293" s="23"/>
      <c r="D293" s="23"/>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row>
    <row r="294" spans="1:49" ht="12" customHeight="1">
      <c r="A294" s="1"/>
      <c r="B294" s="23"/>
      <c r="C294" s="23"/>
      <c r="D294" s="23"/>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row>
    <row r="295" spans="1:49" ht="12" customHeight="1">
      <c r="A295" s="1"/>
      <c r="B295" s="23"/>
      <c r="C295" s="23"/>
      <c r="D295" s="23"/>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row>
    <row r="296" spans="1:49" ht="12" customHeight="1">
      <c r="A296" s="1"/>
      <c r="B296" s="23"/>
      <c r="C296" s="23"/>
      <c r="D296" s="23"/>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row>
    <row r="297" spans="1:49" ht="12" customHeight="1">
      <c r="A297" s="1"/>
      <c r="B297" s="23"/>
      <c r="C297" s="23"/>
      <c r="D297" s="23"/>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row>
    <row r="298" spans="1:49" ht="12" customHeight="1">
      <c r="A298" s="1"/>
      <c r="B298" s="23"/>
      <c r="C298" s="23"/>
      <c r="D298" s="23"/>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row>
    <row r="299" spans="1:49" ht="12" customHeight="1">
      <c r="A299" s="1"/>
      <c r="B299" s="23"/>
      <c r="C299" s="23"/>
      <c r="D299" s="23"/>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row>
    <row r="300" spans="1:49" ht="12" customHeight="1">
      <c r="A300" s="1"/>
      <c r="B300" s="23"/>
      <c r="C300" s="23"/>
      <c r="D300" s="23"/>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row>
    <row r="301" spans="1:49" ht="12" customHeight="1">
      <c r="A301" s="1"/>
      <c r="B301" s="23"/>
      <c r="C301" s="23"/>
      <c r="D301" s="23"/>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row>
    <row r="302" spans="1:49" ht="12" customHeight="1">
      <c r="A302" s="1"/>
      <c r="B302" s="23"/>
      <c r="C302" s="23"/>
      <c r="D302" s="23"/>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row>
    <row r="303" spans="1:49" ht="12" customHeight="1">
      <c r="A303" s="1"/>
      <c r="B303" s="23"/>
      <c r="C303" s="23"/>
      <c r="D303" s="23"/>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row>
    <row r="304" spans="1:49" ht="12" customHeight="1">
      <c r="A304" s="1"/>
      <c r="B304" s="23"/>
      <c r="C304" s="23"/>
      <c r="D304" s="23"/>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row>
    <row r="305" spans="1:49" ht="12" customHeight="1">
      <c r="A305" s="1"/>
      <c r="B305" s="23"/>
      <c r="C305" s="23"/>
      <c r="D305" s="23"/>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row>
    <row r="306" spans="1:49" ht="12" customHeight="1">
      <c r="A306" s="1"/>
      <c r="B306" s="23"/>
      <c r="C306" s="23"/>
      <c r="D306" s="23"/>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row>
    <row r="307" spans="1:49" ht="12" customHeight="1">
      <c r="A307" s="1"/>
      <c r="B307" s="23"/>
      <c r="C307" s="23"/>
      <c r="D307" s="23"/>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row>
    <row r="308" spans="1:49" ht="12" customHeight="1">
      <c r="A308" s="1"/>
      <c r="B308" s="23"/>
      <c r="C308" s="23"/>
      <c r="D308" s="23"/>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row>
    <row r="309" spans="1:49" ht="12" customHeight="1">
      <c r="A309" s="1"/>
      <c r="B309" s="23"/>
      <c r="C309" s="23"/>
      <c r="D309" s="23"/>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row>
    <row r="310" spans="1:49" ht="12" customHeight="1">
      <c r="A310" s="1"/>
      <c r="B310" s="23"/>
      <c r="C310" s="23"/>
      <c r="D310" s="23"/>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row>
    <row r="311" spans="1:49" ht="12" customHeight="1">
      <c r="A311" s="1"/>
      <c r="B311" s="23"/>
      <c r="C311" s="23"/>
      <c r="D311" s="23"/>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row>
    <row r="312" spans="1:49" ht="12" customHeight="1">
      <c r="A312" s="1"/>
      <c r="B312" s="23"/>
      <c r="C312" s="23"/>
      <c r="D312" s="23"/>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row>
    <row r="313" spans="1:49" ht="12" customHeight="1">
      <c r="A313" s="1"/>
      <c r="B313" s="23"/>
      <c r="C313" s="23"/>
      <c r="D313" s="23"/>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row>
    <row r="314" spans="1:49" ht="12" customHeight="1">
      <c r="A314" s="1"/>
      <c r="B314" s="23"/>
      <c r="C314" s="23"/>
      <c r="D314" s="23"/>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row>
    <row r="315" spans="1:49" ht="12" customHeight="1">
      <c r="A315" s="1"/>
      <c r="B315" s="23"/>
      <c r="C315" s="23"/>
      <c r="D315" s="23"/>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row>
    <row r="316" spans="1:49" ht="12" customHeight="1">
      <c r="A316" s="1"/>
      <c r="B316" s="23"/>
      <c r="C316" s="23"/>
      <c r="D316" s="23"/>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row>
    <row r="317" spans="1:49" ht="12" customHeight="1">
      <c r="A317" s="1"/>
      <c r="B317" s="23"/>
      <c r="C317" s="23"/>
      <c r="D317" s="23"/>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row>
    <row r="318" spans="1:49" ht="12" customHeight="1">
      <c r="A318" s="1"/>
      <c r="B318" s="23"/>
      <c r="C318" s="23"/>
      <c r="D318" s="23"/>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row>
    <row r="319" spans="1:49" ht="12" customHeight="1">
      <c r="A319" s="1"/>
      <c r="B319" s="23"/>
      <c r="C319" s="23"/>
      <c r="D319" s="23"/>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row>
    <row r="320" spans="1:49" ht="12" customHeight="1">
      <c r="A320" s="1"/>
      <c r="B320" s="23"/>
      <c r="C320" s="23"/>
      <c r="D320" s="23"/>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row>
    <row r="321" spans="1:49" ht="12" customHeight="1">
      <c r="A321" s="1"/>
      <c r="B321" s="23"/>
      <c r="C321" s="23"/>
      <c r="D321" s="23"/>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row>
    <row r="322" spans="1:49" ht="12" customHeight="1">
      <c r="A322" s="1"/>
      <c r="B322" s="23"/>
      <c r="C322" s="23"/>
      <c r="D322" s="23"/>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row>
    <row r="323" spans="1:49" ht="12" customHeight="1">
      <c r="A323" s="1"/>
      <c r="B323" s="23"/>
      <c r="C323" s="23"/>
      <c r="D323" s="23"/>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row>
    <row r="324" spans="1:49" ht="12" customHeight="1">
      <c r="A324" s="1"/>
      <c r="B324" s="23"/>
      <c r="C324" s="23"/>
      <c r="D324" s="23"/>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row>
    <row r="325" spans="1:49" ht="12" customHeight="1">
      <c r="A325" s="1"/>
      <c r="B325" s="23"/>
      <c r="C325" s="23"/>
      <c r="D325" s="23"/>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row>
    <row r="326" spans="1:49" ht="12" customHeight="1">
      <c r="A326" s="1"/>
      <c r="B326" s="23"/>
      <c r="C326" s="23"/>
      <c r="D326" s="23"/>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row>
    <row r="327" spans="1:49" ht="12" customHeight="1">
      <c r="A327" s="1"/>
      <c r="B327" s="23"/>
      <c r="C327" s="23"/>
      <c r="D327" s="23"/>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row>
    <row r="328" spans="1:49" ht="12" customHeight="1">
      <c r="A328" s="1"/>
      <c r="B328" s="23"/>
      <c r="C328" s="23"/>
      <c r="D328" s="23"/>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row>
    <row r="329" spans="1:49" ht="12" customHeight="1">
      <c r="A329" s="1"/>
      <c r="B329" s="23"/>
      <c r="C329" s="23"/>
      <c r="D329" s="23"/>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row>
    <row r="330" spans="1:49" ht="12" customHeight="1">
      <c r="A330" s="1"/>
      <c r="B330" s="23"/>
      <c r="C330" s="23"/>
      <c r="D330" s="23"/>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row>
    <row r="331" spans="1:49" ht="12" customHeight="1">
      <c r="A331" s="1"/>
      <c r="B331" s="23"/>
      <c r="C331" s="23"/>
      <c r="D331" s="23"/>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row>
    <row r="332" spans="1:49" ht="12" customHeight="1">
      <c r="A332" s="1"/>
      <c r="B332" s="23"/>
      <c r="C332" s="23"/>
      <c r="D332" s="23"/>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row>
    <row r="333" spans="1:49" ht="12" customHeight="1">
      <c r="A333" s="1"/>
      <c r="B333" s="23"/>
      <c r="C333" s="23"/>
      <c r="D333" s="23"/>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row>
    <row r="334" spans="1:49" ht="12" customHeight="1">
      <c r="A334" s="1"/>
      <c r="B334" s="23"/>
      <c r="C334" s="23"/>
      <c r="D334" s="23"/>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row>
    <row r="335" spans="1:49" ht="12"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row>
    <row r="336" spans="1:49" ht="12"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row>
    <row r="337" spans="1:49" ht="12"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row>
    <row r="338" spans="1:49" ht="12"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row>
    <row r="339" spans="1:49" ht="12"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row>
    <row r="340" spans="1:49" ht="12"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row>
    <row r="341" spans="1:49" ht="12"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row>
    <row r="342" spans="1:49" ht="12"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row>
    <row r="343" spans="1:49" ht="12"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row>
    <row r="344" spans="1:49" ht="12"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row>
    <row r="345" spans="1:49" ht="12"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row>
    <row r="346" spans="1:49" ht="12"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row>
    <row r="347" spans="1:49" ht="12"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row>
    <row r="348" spans="1:49" ht="12"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row>
    <row r="349" spans="1:49" ht="12"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row>
    <row r="350" spans="1:49" ht="12"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row>
    <row r="351" spans="1:49" ht="12"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row>
    <row r="352" spans="1:49" ht="12"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row>
    <row r="353" spans="1:49" ht="12"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row>
    <row r="354" spans="1:49" ht="12"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row>
    <row r="355" spans="1:49" ht="12"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row>
    <row r="356" spans="1:49" ht="12"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row>
    <row r="357" spans="1:49" ht="12"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row>
    <row r="358" spans="1:49" ht="12"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row>
    <row r="359" spans="1:49" ht="12"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row>
    <row r="360" spans="1:49" ht="12"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row>
    <row r="361" spans="1:49" ht="12"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row>
    <row r="362" spans="1:49" ht="12"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row>
    <row r="363" spans="1:49" ht="12"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row>
    <row r="364" spans="1:49" ht="12"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row>
    <row r="365" spans="1:49" ht="12"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row>
    <row r="366" spans="1:49" ht="12"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row>
    <row r="367" spans="1:49" ht="12"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row>
    <row r="368" spans="1:49" ht="12"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row>
    <row r="369" spans="1:49" ht="12"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row>
    <row r="370" spans="1:49" ht="12"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row>
    <row r="371" spans="1:49" ht="12"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row>
    <row r="372" spans="1:49" ht="12"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row>
    <row r="373" spans="1:49" ht="12"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row>
    <row r="374" spans="1:49" ht="12"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row>
    <row r="375" spans="1:49" ht="12"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row>
    <row r="376" spans="1:49" ht="12"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row>
    <row r="377" spans="1:49" ht="12"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row>
    <row r="378" spans="1:49" ht="12"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row>
    <row r="379" spans="1:49" ht="12"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row>
    <row r="380" spans="1:49" ht="12"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row>
    <row r="381" spans="1:49" ht="12"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row>
    <row r="382" spans="1:49" ht="12"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row>
    <row r="383" spans="1:49" ht="12"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row>
    <row r="384" spans="1:49" ht="12"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row>
    <row r="385" spans="1:49" ht="12"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row>
    <row r="386" spans="1:49" ht="12"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row>
    <row r="387" spans="1:49" ht="12"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row>
    <row r="388" spans="1:49" ht="12"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row>
    <row r="389" spans="1:49" ht="12"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row>
    <row r="390" spans="1:49" ht="12"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row>
    <row r="391" spans="1:49" ht="12"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row>
    <row r="392" spans="1:49" ht="12"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row>
    <row r="393" spans="1:49" ht="12"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row>
    <row r="394" spans="1:49" ht="12"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row>
    <row r="395" spans="1:49" ht="12"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row>
    <row r="396" spans="1:49" ht="12"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row>
    <row r="397" spans="1:49" ht="12"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row>
    <row r="398" spans="1:49" ht="12"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row>
    <row r="399" spans="1:49" ht="12"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row>
    <row r="400" spans="1:49" ht="12"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row>
    <row r="401" spans="1:49" ht="12"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row>
    <row r="402" spans="1:49" ht="12"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row>
    <row r="403" spans="1:49" ht="12"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row>
    <row r="404" spans="1:49" ht="12"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row>
    <row r="405" spans="1:49" ht="12"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row>
    <row r="406" spans="1:49" ht="12"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row>
    <row r="407" spans="1:49" ht="12"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row>
    <row r="408" spans="1:49" ht="12"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row>
    <row r="409" spans="1:49" ht="12"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row>
    <row r="410" spans="1:49" ht="12"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row>
    <row r="411" spans="1:49" ht="12"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row>
    <row r="412" spans="1:49" ht="12"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row>
    <row r="413" spans="1:49" ht="12"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row>
    <row r="414" spans="1:49" ht="12"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row>
    <row r="415" spans="1:49" ht="12"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row>
    <row r="416" spans="1:49" ht="12"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row>
    <row r="417" spans="1:49" ht="12"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row>
    <row r="418" spans="1:49" ht="12"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row>
    <row r="419" spans="1:49" ht="12"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row>
    <row r="420" spans="1:49" ht="12"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row>
    <row r="421" spans="1:49" ht="12"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row>
    <row r="422" spans="1:49" ht="12"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row>
    <row r="423" spans="1:49" ht="12"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row>
    <row r="424" spans="1:49" ht="12"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row>
    <row r="425" spans="1:49" ht="12"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row>
    <row r="426" spans="1:49" ht="12"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row>
    <row r="427" spans="1:49" ht="12"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row>
    <row r="428" spans="1:49" ht="12"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row>
    <row r="429" spans="1:49" ht="12"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row>
    <row r="430" spans="1:49" ht="12"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row>
    <row r="431" spans="1:49" ht="12"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row>
    <row r="432" spans="1:49" ht="12"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row>
    <row r="433" spans="1:49" ht="12"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row>
    <row r="434" spans="1:49" ht="12"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row>
    <row r="435" spans="1:49" ht="12"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row>
    <row r="436" spans="1:49" ht="12"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row>
    <row r="437" spans="1:49" ht="12"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row>
    <row r="438" spans="1:49" ht="12"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row>
    <row r="439" spans="1:49" ht="12"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row>
    <row r="440" spans="1:49" ht="12"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row>
    <row r="441" spans="1:49" ht="12"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row>
    <row r="442" spans="1:49" ht="12"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row>
    <row r="443" spans="1:49" ht="12"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row>
    <row r="444" spans="1:49" ht="12"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row>
    <row r="445" spans="1:49" ht="12"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row>
    <row r="446" spans="1:49" ht="12"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row>
    <row r="447" spans="1:49" ht="12"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row>
    <row r="448" spans="1:49" ht="12"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row>
    <row r="449" spans="1:49" ht="12"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row>
    <row r="450" spans="1:49" ht="12"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row>
    <row r="451" spans="1:49" ht="12"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row>
    <row r="452" spans="1:49" ht="12"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row>
    <row r="453" spans="1:49" ht="12"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row>
    <row r="454" spans="1:49" ht="12"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row>
    <row r="455" spans="1:49" ht="12"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row>
    <row r="456" spans="1:49" ht="12"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row>
    <row r="457" spans="1:49" ht="12"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row>
    <row r="458" spans="1:49" ht="12"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row>
    <row r="459" spans="1:49" ht="12"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row>
    <row r="460" spans="1:49" ht="12"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row>
    <row r="461" spans="1:49" ht="12"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row>
    <row r="462" spans="1:49" ht="12"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row>
    <row r="463" spans="1:49" ht="12"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row>
    <row r="464" spans="1:49" ht="12"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row>
    <row r="465" spans="1:49" ht="12"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row>
    <row r="466" spans="1:49" ht="12"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row>
    <row r="467" spans="1:49" ht="12"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row>
    <row r="468" spans="1:49" ht="12"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row>
    <row r="469" spans="1:49" ht="12"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row>
    <row r="470" spans="1:49" ht="12"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row>
    <row r="471" spans="1:49" ht="12"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row>
    <row r="472" spans="1:49" ht="12"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row>
    <row r="473" spans="1:49" ht="12"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row>
    <row r="474" spans="1:49" ht="12"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row>
    <row r="475" spans="1:49" ht="12"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row>
    <row r="476" spans="1:49" ht="12"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row>
    <row r="477" spans="1:49" ht="12"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row>
    <row r="478" spans="1:49" ht="12"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row>
    <row r="479" spans="1:49" ht="12"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row>
    <row r="480" spans="1:49" ht="12"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row>
    <row r="481" spans="1:49" ht="12"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row>
    <row r="482" spans="1:49" ht="12"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row>
    <row r="483" spans="1:49" ht="12"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row>
    <row r="484" spans="1:49" ht="12"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row>
    <row r="485" spans="1:49" ht="12"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row>
    <row r="486" spans="1:49" ht="12"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row>
    <row r="487" spans="1:49" ht="12"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row>
    <row r="488" spans="1:49" ht="12"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row>
    <row r="489" spans="1:49" ht="12"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row>
    <row r="490" spans="1:49" ht="12"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row>
    <row r="491" spans="1:49" ht="12"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row>
    <row r="492" spans="1:49" ht="12"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row>
    <row r="493" spans="1:49" ht="12"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row>
    <row r="494" spans="1:49" ht="12"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row>
    <row r="495" spans="1:49" ht="12"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row>
    <row r="496" spans="1:49" ht="12"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row>
    <row r="497" spans="1:49" ht="12"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row>
    <row r="498" spans="1:49" ht="12"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row>
    <row r="499" spans="1:49" ht="12"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row>
    <row r="500" spans="1:49" ht="12"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row>
    <row r="501" spans="1:49" ht="12"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row>
    <row r="502" spans="1:49" ht="12"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row>
    <row r="503" spans="1:49" ht="12"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row>
    <row r="504" spans="1:49" ht="12"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row>
    <row r="505" spans="1:49" ht="12"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row>
    <row r="506" spans="1:49" ht="12"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row>
    <row r="507" spans="1:49" ht="12"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row>
    <row r="508" spans="1:49" ht="12"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row>
    <row r="509" spans="1:49" ht="12"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row>
    <row r="510" spans="1:49" ht="12"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row>
    <row r="511" spans="1:49" ht="12"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row>
    <row r="512" spans="1:49" ht="12"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row>
    <row r="513" spans="1:49" ht="12"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row>
    <row r="514" spans="1:49" ht="12"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row>
    <row r="515" spans="1:49" ht="12"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row>
    <row r="516" spans="1:49" ht="12"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row>
    <row r="517" spans="1:49" ht="12"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row>
    <row r="518" spans="1:49" ht="12"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row>
    <row r="519" spans="1:49" ht="12"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row>
    <row r="520" spans="1:49" ht="12"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row>
    <row r="521" spans="1:49" ht="12"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row>
    <row r="522" spans="1:49" ht="12"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row>
    <row r="523" spans="1:49" ht="12"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row>
    <row r="524" spans="1:49" ht="12"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row>
    <row r="525" spans="1:49" ht="12"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row>
    <row r="526" spans="1:49" ht="12"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row>
    <row r="527" spans="1:49" ht="12"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row>
    <row r="528" spans="1:49" ht="12"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row>
    <row r="529" spans="1:49" ht="12"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row>
    <row r="530" spans="1:49" ht="12"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row>
    <row r="531" spans="1:49" ht="12"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row>
    <row r="532" spans="1:49" ht="12"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row>
    <row r="533" spans="1:49" ht="12"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row>
    <row r="534" spans="1:49" ht="12"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row>
    <row r="535" spans="1:49" ht="12"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row>
    <row r="536" spans="1:49" ht="12"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row>
    <row r="537" spans="1:49" ht="12"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row>
    <row r="538" spans="1:49" ht="12"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row>
    <row r="539" spans="1:49" ht="12"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row>
    <row r="540" spans="1:49" ht="12"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row>
    <row r="541" spans="1:49" ht="12"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row>
    <row r="542" spans="1:49" ht="12"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row>
    <row r="543" spans="1:49" ht="12"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row>
    <row r="544" spans="1:49" ht="12"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row>
    <row r="545" spans="1:49" ht="12"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row>
    <row r="546" spans="1:49" ht="12"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row>
    <row r="547" spans="1:49" ht="12"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row>
    <row r="548" spans="1:49" ht="12"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row>
    <row r="549" spans="1:49" ht="12"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row>
    <row r="550" spans="1:49" ht="12"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row>
    <row r="551" spans="1:49" ht="12"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row>
    <row r="552" spans="1:49" ht="12"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row>
    <row r="553" spans="1:49" ht="12"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row>
    <row r="554" spans="1:49" ht="12"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row>
    <row r="555" spans="1:49" ht="12"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row>
    <row r="556" spans="1:49" ht="12"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row>
    <row r="557" spans="1:49" ht="12"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row>
    <row r="558" spans="1:49" ht="12"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row>
    <row r="559" spans="1:49" ht="12"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row>
    <row r="560" spans="1:49" ht="12"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row>
    <row r="561" spans="1:49" ht="12"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row>
    <row r="562" spans="1:49" ht="12"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row>
    <row r="563" spans="1:49" ht="12"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row>
    <row r="564" spans="1:49" ht="12"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row>
    <row r="565" spans="1:49" ht="12"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row>
    <row r="566" spans="1:49" ht="12"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row>
    <row r="567" spans="1:49" ht="12"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row>
    <row r="568" spans="1:49" ht="12"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row>
    <row r="569" spans="1:49" ht="12"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row>
    <row r="570" spans="1:49" ht="12"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row>
    <row r="571" spans="1:49" ht="12"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row>
    <row r="572" spans="1:49" ht="12"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row>
    <row r="573" spans="1:49" ht="12"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row>
    <row r="574" spans="1:49" ht="12"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row>
    <row r="575" spans="1:49" ht="12"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row>
    <row r="576" spans="1:49" ht="12"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row>
    <row r="577" spans="1:49" ht="12"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row>
    <row r="578" spans="1:49" ht="12"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row>
    <row r="579" spans="1:49" ht="12"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row>
    <row r="580" spans="1:49" ht="12"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row>
    <row r="581" spans="1:49" ht="12"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row>
    <row r="582" spans="1:49" ht="12"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row>
    <row r="583" spans="1:49" ht="12"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row>
    <row r="584" spans="1:49" ht="12"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row>
    <row r="585" spans="1:49" ht="12"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row>
    <row r="586" spans="1:49" ht="12"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row>
    <row r="587" spans="1:49" ht="12"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row>
    <row r="588" spans="1:49" ht="12"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row>
    <row r="589" spans="1:49" ht="12"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row>
    <row r="590" spans="1:49" ht="12"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row>
    <row r="591" spans="1:49" ht="12"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row>
    <row r="592" spans="1:49" ht="12"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row>
    <row r="593" spans="1:49" ht="12"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row>
    <row r="594" spans="1:49" ht="12"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row>
    <row r="595" spans="1:49" ht="12"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row>
    <row r="596" spans="1:49" ht="12"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row>
    <row r="597" spans="1:49" ht="12"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row>
    <row r="598" spans="1:49" ht="12"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row>
    <row r="599" spans="1:49" ht="12"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row>
    <row r="600" spans="1:49" ht="12"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row>
    <row r="601" spans="1:49" ht="12"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row>
    <row r="602" spans="1:49" ht="12"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row>
    <row r="603" spans="1:49" ht="12"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row>
    <row r="604" spans="1:49" ht="12"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row>
    <row r="605" spans="1:49" ht="12"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row>
    <row r="606" spans="1:49" ht="12"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row>
    <row r="607" spans="1:49" ht="12"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row>
    <row r="608" spans="1:49" ht="12"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row>
    <row r="609" spans="1:49" ht="12"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row>
    <row r="610" spans="1:49" ht="12"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row>
    <row r="611" spans="1:49" ht="12"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row>
    <row r="612" spans="1:49" ht="12"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row>
    <row r="613" spans="1:49" ht="12"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row>
    <row r="614" spans="1:49" ht="12"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row>
    <row r="615" spans="1:49" ht="12"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row>
    <row r="616" spans="1:49" ht="12"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row>
    <row r="617" spans="1:49" ht="12"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row>
    <row r="618" spans="1:49" ht="12"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row>
    <row r="619" spans="1:49" ht="12"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row>
    <row r="620" spans="1:49" ht="12"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row>
    <row r="621" spans="1:49" ht="12"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row>
    <row r="622" spans="1:49" ht="12"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row>
    <row r="623" spans="1:49" ht="12"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row>
    <row r="624" spans="1:49" ht="12"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row>
    <row r="625" spans="1:49" ht="12"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row>
    <row r="626" spans="1:49" ht="12"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row>
    <row r="627" spans="1:49" ht="12"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row>
    <row r="628" spans="1:49" ht="12"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row>
    <row r="629" spans="1:49" ht="12"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row>
    <row r="630" spans="1:49" ht="12"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row>
    <row r="631" spans="1:49" ht="12"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row>
    <row r="632" spans="1:49" ht="12"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row>
    <row r="633" spans="1:49" ht="12"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row>
    <row r="634" spans="1:49" ht="12"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row>
    <row r="635" spans="1:49" ht="12"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row>
    <row r="636" spans="1:49" ht="12"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row>
    <row r="637" spans="1:49" ht="12"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row>
    <row r="638" spans="1:49" ht="12"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row>
    <row r="639" spans="1:49" ht="12"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row>
    <row r="640" spans="1:49" ht="12"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row>
    <row r="641" spans="1:49" ht="12"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row>
    <row r="642" spans="1:49" ht="12"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row>
    <row r="643" spans="1:49" ht="12"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row>
    <row r="644" spans="1:49" ht="12"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row>
    <row r="645" spans="1:49" ht="12"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row>
    <row r="646" spans="1:49" ht="12"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row>
    <row r="647" spans="1:49" ht="12"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row>
    <row r="648" spans="1:49" ht="12"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row>
    <row r="649" spans="1:49" ht="12"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row>
    <row r="650" spans="1:49" ht="12"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row>
    <row r="651" spans="1:49" ht="12"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row>
    <row r="652" spans="1:49" ht="12"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row>
    <row r="653" spans="1:49" ht="12"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row>
    <row r="654" spans="1:49" ht="12"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row>
    <row r="655" spans="1:49" ht="12"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row>
    <row r="656" spans="1:49" ht="12"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row>
    <row r="657" spans="1:49" ht="12"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row>
    <row r="658" spans="1:49" ht="12"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row>
    <row r="659" spans="1:49" ht="12"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row>
    <row r="660" spans="1:49" ht="12"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row>
    <row r="661" spans="1:49" ht="12"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row>
    <row r="662" spans="1:49" ht="12"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row>
    <row r="663" spans="1:49" ht="12"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row>
    <row r="664" spans="1:49" ht="12"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row>
    <row r="665" spans="1:49" ht="12"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row>
    <row r="666" spans="1:49" ht="12"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row>
    <row r="667" spans="1:49" ht="12"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row>
    <row r="668" spans="1:49" ht="12"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row>
    <row r="669" spans="1:49" ht="12"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row>
    <row r="670" spans="1:49" ht="12"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row>
    <row r="671" spans="1:49" ht="12"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row>
    <row r="672" spans="1:49" ht="12"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row>
    <row r="673" spans="1:49" ht="12"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row>
    <row r="674" spans="1:49" ht="12"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row>
    <row r="675" spans="1:49" ht="12"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row>
    <row r="676" spans="1:49" ht="12"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row>
    <row r="677" spans="1:49" ht="12"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row>
    <row r="678" spans="1:49" ht="12"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row>
    <row r="679" spans="1:49" ht="12"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row>
    <row r="680" spans="1:49" ht="12"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row>
    <row r="681" spans="1:49" ht="12"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row>
    <row r="682" spans="1:49" ht="12"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row>
    <row r="683" spans="1:49" ht="12"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row>
    <row r="684" spans="1:49" ht="12"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row>
    <row r="685" spans="1:49" ht="12"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row>
    <row r="686" spans="1:49" ht="12"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row>
    <row r="687" spans="1:49" ht="12"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row>
    <row r="688" spans="1:49" ht="12"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row>
    <row r="689" spans="1:49" ht="12"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row>
    <row r="690" spans="1:49" ht="12"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row>
    <row r="691" spans="1:49" ht="12"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row>
    <row r="692" spans="1:49" ht="12"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row>
    <row r="693" spans="1:49" ht="12"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row>
    <row r="694" spans="1:49" ht="12"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row>
    <row r="695" spans="1:49" ht="12"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row>
    <row r="696" spans="1:49" ht="12"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row>
    <row r="697" spans="1:49" ht="12"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row>
    <row r="698" spans="1:49" ht="12"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row>
    <row r="699" spans="1:49" ht="12"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row>
    <row r="700" spans="1:49" ht="12"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row>
    <row r="701" spans="1:49" ht="12"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row>
    <row r="702" spans="1:49" ht="12"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row>
    <row r="703" spans="1:49" ht="12"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row>
    <row r="704" spans="1:49" ht="12"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row>
    <row r="705" spans="1:49" ht="12"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row>
    <row r="706" spans="1:49" ht="12"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row>
    <row r="707" spans="1:49" ht="12"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row>
    <row r="708" spans="1:49" ht="12"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row>
    <row r="709" spans="1:49" ht="12"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row>
    <row r="710" spans="1:49" ht="12"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row>
    <row r="711" spans="1:49" ht="12"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row>
    <row r="712" spans="1:49" ht="12"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row>
    <row r="713" spans="1:49" ht="12"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row>
    <row r="714" spans="1:49" ht="12"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row>
    <row r="715" spans="1:49" ht="12"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row>
    <row r="716" spans="1:49" ht="12"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row>
    <row r="717" spans="1:49" ht="12"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row>
    <row r="718" spans="1:49" ht="12"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row>
    <row r="719" spans="1:49" ht="12"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row>
    <row r="720" spans="1:49" ht="12"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row>
    <row r="721" spans="1:49" ht="12"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row>
    <row r="722" spans="1:49" ht="12"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row>
    <row r="723" spans="1:49" ht="12"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row>
    <row r="724" spans="1:49" ht="12"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row>
    <row r="725" spans="1:49" ht="12"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row>
    <row r="726" spans="1:49" ht="12"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row>
    <row r="727" spans="1:49" ht="12"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row>
    <row r="728" spans="1:49" ht="12"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row>
    <row r="729" spans="1:49" ht="12"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row>
    <row r="730" spans="1:49" ht="12"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row>
    <row r="731" spans="1:49" ht="12"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row>
    <row r="732" spans="1:49" ht="12"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row>
    <row r="733" spans="1:49" ht="12"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row>
    <row r="734" spans="1:49" ht="12"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row>
    <row r="735" spans="1:49" ht="12"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row>
    <row r="736" spans="1:49" ht="12"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row>
    <row r="737" spans="1:49" ht="12"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row>
    <row r="738" spans="1:49" ht="12"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row>
    <row r="739" spans="1:49" ht="12"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row>
    <row r="740" spans="1:49" ht="12"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row>
    <row r="741" spans="1:49" ht="12"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row>
    <row r="742" spans="1:49" ht="12"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row>
    <row r="743" spans="1:49" ht="12"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row>
    <row r="744" spans="1:49" ht="12"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row>
    <row r="745" spans="1:49" ht="12"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row>
    <row r="746" spans="1:49" ht="12"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row>
    <row r="747" spans="1:49" ht="12"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row>
    <row r="748" spans="1:49" ht="12"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row>
    <row r="749" spans="1:49" ht="12"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row>
    <row r="750" spans="1:49" ht="12"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row>
    <row r="751" spans="1:49" ht="12"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row>
    <row r="752" spans="1:49" ht="12"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row>
    <row r="753" spans="1:49" ht="12"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row>
    <row r="754" spans="1:49" ht="12"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row>
    <row r="755" spans="1:49" ht="12"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row>
    <row r="756" spans="1:49" ht="12"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row>
    <row r="757" spans="1:49" ht="12"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row>
    <row r="758" spans="1:49" ht="12"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row>
    <row r="759" spans="1:49" ht="12"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row>
    <row r="760" spans="1:49" ht="12"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row>
    <row r="761" spans="1:49" ht="12"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row>
    <row r="762" spans="1:49" ht="12"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row>
    <row r="763" spans="1:49" ht="12"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row>
    <row r="764" spans="1:49" ht="12"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row>
    <row r="765" spans="1:49" ht="12"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row>
    <row r="766" spans="1:49" ht="12"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row>
    <row r="767" spans="1:49" ht="12"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row>
    <row r="768" spans="1:49" ht="12"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row>
    <row r="769" spans="1:49" ht="12"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row>
    <row r="770" spans="1:49" ht="12"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row>
    <row r="771" spans="1:49" ht="12"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row>
    <row r="772" spans="1:49" ht="12"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row>
    <row r="773" spans="1:49" ht="12"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row>
    <row r="774" spans="1:49" ht="12"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row>
    <row r="775" spans="1:49" ht="12"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row>
    <row r="776" spans="1:49" ht="12"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row>
    <row r="777" spans="1:49" ht="12"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row>
    <row r="778" spans="1:49" ht="12"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row>
    <row r="779" spans="1:49" ht="12"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row>
    <row r="780" spans="1:49" ht="12"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row>
    <row r="781" spans="1:49" ht="12"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row>
    <row r="782" spans="1:49" ht="12"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row>
    <row r="783" spans="1:49" ht="12"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row>
    <row r="784" spans="1:49" ht="12"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row>
    <row r="785" spans="1:49" ht="12"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row>
    <row r="786" spans="1:49" ht="12"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row>
    <row r="787" spans="1:49" ht="12"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row>
    <row r="788" spans="1:49" ht="12"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row>
    <row r="789" spans="1:49" ht="12"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row>
    <row r="790" spans="1:49" ht="12"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row>
    <row r="791" spans="1:49" ht="12"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row>
    <row r="792" spans="1:49" ht="12"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row>
    <row r="793" spans="1:49" ht="12"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row>
    <row r="794" spans="1:49" ht="12"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row>
    <row r="795" spans="1:49" ht="12"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row>
    <row r="796" spans="1:49" ht="12"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row>
    <row r="797" spans="1:49" ht="12"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row>
    <row r="798" spans="1:49" ht="12"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row>
    <row r="799" spans="1:49" ht="12"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row>
    <row r="800" spans="1:49" ht="12"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row>
    <row r="801" spans="1:49" ht="12"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row>
    <row r="802" spans="1:49" ht="12"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row>
    <row r="803" spans="1:49" ht="12"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row>
    <row r="804" spans="1:49" ht="12"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row>
    <row r="805" spans="1:49" ht="12"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row>
    <row r="806" spans="1:49" ht="12"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row>
    <row r="807" spans="1:49" ht="12"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row>
    <row r="808" spans="1:49" ht="12"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row>
    <row r="809" spans="1:49" ht="12"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row>
    <row r="810" spans="1:49" ht="12"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row>
    <row r="811" spans="1:49" ht="12"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row>
    <row r="812" spans="1:49" ht="12"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row>
    <row r="813" spans="1:49" ht="12"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row>
    <row r="814" spans="1:49" ht="12"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row>
    <row r="815" spans="1:49" ht="12"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row>
    <row r="816" spans="1:49" ht="12"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row>
    <row r="817" spans="1:49" ht="12"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row>
    <row r="818" spans="1:49" ht="12"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row>
    <row r="819" spans="1:49" ht="12"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row>
    <row r="820" spans="1:49" ht="12"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row>
    <row r="821" spans="1:49" ht="12"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row>
    <row r="822" spans="1:49" ht="12"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row>
    <row r="823" spans="1:49" ht="12"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row>
    <row r="824" spans="1:49" ht="12"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row>
    <row r="825" spans="1:49" ht="12"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row>
    <row r="826" spans="1:49" ht="12"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row>
    <row r="827" spans="1:49" ht="12"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row>
    <row r="828" spans="1:49" ht="12"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row>
    <row r="829" spans="1:49" ht="12"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row>
    <row r="830" spans="1:49" ht="12"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row>
    <row r="831" spans="1:49" ht="12"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row>
    <row r="832" spans="1:49" ht="12"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row>
    <row r="833" spans="1:49" ht="12"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row>
    <row r="834" spans="1:49" ht="12"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row>
    <row r="835" spans="1:49" ht="12"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row>
    <row r="836" spans="1:49" ht="12"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row>
    <row r="837" spans="1:49" ht="12"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row>
    <row r="838" spans="1:49" ht="12"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row>
    <row r="839" spans="1:49" ht="12"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row>
    <row r="840" spans="1:49" ht="12"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row>
    <row r="841" spans="1:49" ht="12"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row>
    <row r="842" spans="1:49" ht="12"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row>
    <row r="843" spans="1:49" ht="12"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row>
    <row r="844" spans="1:49" ht="12"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row>
    <row r="845" spans="1:49" ht="12"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row>
    <row r="846" spans="1:49" ht="12"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row>
    <row r="847" spans="1:49" ht="12"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row>
    <row r="848" spans="1:49" ht="12"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row>
    <row r="849" spans="1:49" ht="12"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row>
    <row r="850" spans="1:49" ht="12"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row>
    <row r="851" spans="1:49" ht="12"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row>
    <row r="852" spans="1:49" ht="12"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row>
    <row r="853" spans="1:49" ht="12"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row>
    <row r="854" spans="1:49" ht="12"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row>
    <row r="855" spans="1:49" ht="12"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row>
    <row r="856" spans="1:49" ht="12"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row>
    <row r="857" spans="1:49" ht="12"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row>
    <row r="858" spans="1:49" ht="12"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row>
    <row r="859" spans="1:49" ht="12"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row>
    <row r="860" spans="1:49" ht="12"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row>
    <row r="861" spans="1:49" ht="12"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row>
    <row r="862" spans="1:49" ht="12"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row>
    <row r="863" spans="1:49" ht="12"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row>
    <row r="864" spans="1:49" ht="12"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row>
    <row r="865" spans="1:49" ht="12"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row>
    <row r="866" spans="1:49" ht="12"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row>
    <row r="867" spans="1:49" ht="12"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row>
    <row r="868" spans="1:49" ht="12"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row>
    <row r="869" spans="1:49" ht="12"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row>
    <row r="870" spans="1:49" ht="12"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row>
    <row r="871" spans="1:49" ht="12"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row>
    <row r="872" spans="1:49" ht="12"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row>
    <row r="873" spans="1:49" ht="12"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row>
    <row r="874" spans="1:49" ht="12"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row>
    <row r="875" spans="1:49" ht="12"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row>
    <row r="876" spans="1:49" ht="12"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row>
    <row r="877" spans="1:49" ht="12"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row>
    <row r="878" spans="1:49" ht="12"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row>
    <row r="879" spans="1:49" ht="12"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row>
    <row r="880" spans="1:49" ht="12"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row>
    <row r="881" spans="1:49" ht="12"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row>
    <row r="882" spans="1:49" ht="12"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row>
    <row r="883" spans="1:49" ht="12"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row>
    <row r="884" spans="1:49" ht="12"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row>
    <row r="885" spans="1:49" ht="12"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row>
    <row r="886" spans="1:49" ht="12"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row>
    <row r="887" spans="1:49" ht="12"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row>
    <row r="888" spans="1:49" ht="12"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row>
    <row r="889" spans="1:49" ht="12"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row>
    <row r="890" spans="1:49" ht="12"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row>
    <row r="891" spans="1:49" ht="12"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row>
    <row r="892" spans="1:49" ht="12"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row>
    <row r="893" spans="1:49" ht="12"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row>
    <row r="894" spans="1:49" ht="12"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row>
    <row r="895" spans="1:49" ht="12"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row>
    <row r="896" spans="1:49" ht="12"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row>
    <row r="897" spans="1:49" ht="12"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row>
    <row r="898" spans="1:49" ht="12"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row>
    <row r="899" spans="1:49" ht="12"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row>
    <row r="900" spans="1:49" ht="12"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row>
    <row r="901" spans="1:49" ht="12"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row>
    <row r="902" spans="1:49" ht="12"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row>
    <row r="903" spans="1:49" ht="12"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row>
    <row r="904" spans="1:49" ht="12"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row>
    <row r="905" spans="1:49" ht="12"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row>
    <row r="906" spans="1:49" ht="12"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row>
    <row r="907" spans="1:49" ht="12"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row>
    <row r="908" spans="1:49" ht="12"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row>
    <row r="909" spans="1:49" ht="12"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row>
    <row r="910" spans="1:49" ht="12"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row>
    <row r="911" spans="1:49" ht="12"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row>
    <row r="912" spans="1:49" ht="12"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row>
    <row r="913" spans="1:49" ht="12"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row>
    <row r="914" spans="1:49" ht="12"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row>
    <row r="915" spans="1:49" ht="12"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row>
    <row r="916" spans="1:49" ht="12"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row>
    <row r="917" spans="1:49" ht="12"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row>
    <row r="918" spans="1:49" ht="12"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row>
    <row r="919" spans="1:49" ht="12"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row>
    <row r="920" spans="1:49" ht="12"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row>
    <row r="921" spans="1:49" ht="12"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row>
    <row r="922" spans="1:49" ht="12"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row>
    <row r="923" spans="1:49" ht="12"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row>
    <row r="924" spans="1:49" ht="12"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row>
    <row r="925" spans="1:49" ht="12"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row>
    <row r="926" spans="1:49" ht="12"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row>
    <row r="927" spans="1:49" ht="12"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row>
    <row r="928" spans="1:49" ht="12"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row>
    <row r="929" spans="1:49" ht="12"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row>
    <row r="930" spans="1:49" ht="12"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row>
    <row r="931" spans="1:49" ht="12"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row>
    <row r="932" spans="1:49" ht="12"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row>
    <row r="933" spans="1:49" ht="12"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row>
    <row r="934" spans="1:49" ht="12"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row>
    <row r="935" spans="1:49" ht="12"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row>
    <row r="936" spans="1:49" ht="12"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row>
    <row r="937" spans="1:49" ht="12"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row>
    <row r="938" spans="1:49" ht="12"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row>
    <row r="939" spans="1:49" ht="12"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row>
    <row r="940" spans="1:49" ht="12"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row>
    <row r="941" spans="1:49" ht="12"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row>
    <row r="942" spans="1:49" ht="12"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row>
    <row r="943" spans="1:49" ht="12"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row>
    <row r="944" spans="1:49" ht="12"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row>
    <row r="945" spans="1:49" ht="12"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row>
    <row r="946" spans="1:49" ht="12"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row>
    <row r="947" spans="1:49" ht="12"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row>
    <row r="948" spans="1:49" ht="12"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row>
    <row r="949" spans="1:49" ht="12"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row>
    <row r="950" spans="1:49" ht="12"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row>
    <row r="951" spans="1:49" ht="12"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row>
    <row r="952" spans="1:49" ht="12"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row>
    <row r="953" spans="1:49" ht="12"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row>
    <row r="954" spans="1:49" ht="12"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row>
    <row r="955" spans="1:49" ht="12"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row>
    <row r="956" spans="1:49" ht="12"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row>
    <row r="957" spans="1:49" ht="12"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row>
    <row r="958" spans="1:49" ht="12"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row>
    <row r="959" spans="1:49" ht="12"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row>
    <row r="960" spans="1:49" ht="12"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row>
    <row r="961" spans="1:49" ht="12"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row>
    <row r="962" spans="1:49" ht="12"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row>
    <row r="963" spans="1:49" ht="12"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row>
    <row r="964" spans="1:49" ht="12"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row>
    <row r="965" spans="1:49" ht="12"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row>
    <row r="966" spans="1:49" ht="12"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row>
    <row r="967" spans="1:49" ht="12"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row>
    <row r="968" spans="1:49" ht="12"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row>
    <row r="969" spans="1:49" ht="12"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row>
    <row r="970" spans="1:49" ht="12"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row>
    <row r="971" spans="1:49" ht="12"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row>
    <row r="972" spans="1:49" ht="12"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row>
    <row r="973" spans="1:49" ht="12"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row>
    <row r="974" spans="1:49" ht="12"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row>
    <row r="975" spans="1:49" ht="12"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row>
    <row r="976" spans="1:49" ht="12"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row>
    <row r="977" spans="1:49" ht="12"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row>
    <row r="978" spans="1:49" ht="12"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row>
    <row r="979" spans="1:49" ht="12"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row>
    <row r="980" spans="1:49" ht="12"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row>
    <row r="981" spans="1:49" ht="12"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row>
    <row r="982" spans="1:49" ht="12"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row>
    <row r="983" spans="1:49" ht="12"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row>
    <row r="984" spans="1:49" ht="12"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row>
    <row r="985" spans="1:49" ht="12"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row>
    <row r="986" spans="1:49" ht="12"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row>
    <row r="987" spans="1:49" ht="12"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row>
    <row r="988" spans="1:49" ht="12"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row>
    <row r="989" spans="1:49" ht="12"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row>
    <row r="990" spans="1:49" ht="12"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row>
    <row r="991" spans="1:49" ht="12"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row>
    <row r="992" spans="1:49" ht="12"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row>
    <row r="993" spans="1:49" ht="12"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row>
    <row r="994" spans="1:49" ht="12"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row>
    <row r="995" spans="1:49" ht="12"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row>
    <row r="996" spans="1:49" ht="12"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row>
    <row r="997" spans="1:49" ht="12"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row>
    <row r="998" spans="1:49" ht="12"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row>
    <row r="999" spans="1:49" ht="12"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row>
    <row r="1000" spans="1:49" ht="12"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row>
  </sheetData>
  <sheetProtection algorithmName="SHA-512" hashValue="yf/s3+TM4uwb9xeyVXWcyIa9xcuzhcAyHubOcfQhxI+kaDHUasirm5tFkCk84DgeUv1YqNKRGUVz0gkn7q2UJg==" saltValue="USG7WqMB6uGBfmKhfC84yA==" spinCount="100000" sheet="1" objects="1" scenarios="1"/>
  <mergeCells count="302">
    <mergeCell ref="L80:N80"/>
    <mergeCell ref="M68:O68"/>
    <mergeCell ref="P68:Q68"/>
    <mergeCell ref="P69:Q69"/>
    <mergeCell ref="A71:Q71"/>
    <mergeCell ref="A76:Q77"/>
    <mergeCell ref="C78:D78"/>
    <mergeCell ref="A79:C79"/>
    <mergeCell ref="E79:F79"/>
    <mergeCell ref="G79:H79"/>
    <mergeCell ref="A80:C80"/>
    <mergeCell ref="E80:F80"/>
    <mergeCell ref="G80:H80"/>
    <mergeCell ref="I80:J80"/>
    <mergeCell ref="E68:F68"/>
    <mergeCell ref="I79:K79"/>
    <mergeCell ref="L79:N79"/>
    <mergeCell ref="I81:J81"/>
    <mergeCell ref="E82:F82"/>
    <mergeCell ref="E83:F83"/>
    <mergeCell ref="G83:H83"/>
    <mergeCell ref="I83:J83"/>
    <mergeCell ref="L83:N83"/>
    <mergeCell ref="O83:P83"/>
    <mergeCell ref="A87:C87"/>
    <mergeCell ref="A88:C88"/>
    <mergeCell ref="E81:F81"/>
    <mergeCell ref="G81:H81"/>
    <mergeCell ref="L81:N81"/>
    <mergeCell ref="O81:P81"/>
    <mergeCell ref="A81:C81"/>
    <mergeCell ref="A82:C82"/>
    <mergeCell ref="G82:H82"/>
    <mergeCell ref="I82:J82"/>
    <mergeCell ref="L82:N82"/>
    <mergeCell ref="O82:P82"/>
    <mergeCell ref="A83:C83"/>
    <mergeCell ref="A84:C84"/>
    <mergeCell ref="E84:F84"/>
    <mergeCell ref="G84:H84"/>
    <mergeCell ref="I84:J84"/>
    <mergeCell ref="A110:B110"/>
    <mergeCell ref="C110:E110"/>
    <mergeCell ref="A111:B111"/>
    <mergeCell ref="F112:G112"/>
    <mergeCell ref="A119:B119"/>
    <mergeCell ref="A120:B120"/>
    <mergeCell ref="A121:B121"/>
    <mergeCell ref="A112:B112"/>
    <mergeCell ref="A113:B113"/>
    <mergeCell ref="A114:B114"/>
    <mergeCell ref="A115:B115"/>
    <mergeCell ref="A116:B116"/>
    <mergeCell ref="A117:B117"/>
    <mergeCell ref="A118:B118"/>
    <mergeCell ref="F120:G120"/>
    <mergeCell ref="F121:G121"/>
    <mergeCell ref="H119:I119"/>
    <mergeCell ref="H120:I120"/>
    <mergeCell ref="H121:I121"/>
    <mergeCell ref="E129:Q129"/>
    <mergeCell ref="E130:Q130"/>
    <mergeCell ref="E132:F132"/>
    <mergeCell ref="H112:I112"/>
    <mergeCell ref="H113:I113"/>
    <mergeCell ref="H114:I114"/>
    <mergeCell ref="H115:I115"/>
    <mergeCell ref="H116:I116"/>
    <mergeCell ref="H117:I117"/>
    <mergeCell ref="H118:I118"/>
    <mergeCell ref="F122:G122"/>
    <mergeCell ref="D126:E126"/>
    <mergeCell ref="D127:E127"/>
    <mergeCell ref="F113:G113"/>
    <mergeCell ref="F114:G114"/>
    <mergeCell ref="F115:G115"/>
    <mergeCell ref="F116:G116"/>
    <mergeCell ref="F117:G117"/>
    <mergeCell ref="F118:G118"/>
    <mergeCell ref="F119:G119"/>
    <mergeCell ref="O84:P84"/>
    <mergeCell ref="A85:C85"/>
    <mergeCell ref="I85:J85"/>
    <mergeCell ref="O85:P85"/>
    <mergeCell ref="E87:F87"/>
    <mergeCell ref="G87:H87"/>
    <mergeCell ref="E88:F88"/>
    <mergeCell ref="G88:H88"/>
    <mergeCell ref="I88:J88"/>
    <mergeCell ref="O86:P86"/>
    <mergeCell ref="O87:P87"/>
    <mergeCell ref="O88:P88"/>
    <mergeCell ref="I89:J89"/>
    <mergeCell ref="E85:F85"/>
    <mergeCell ref="G85:H85"/>
    <mergeCell ref="A86:C86"/>
    <mergeCell ref="E86:F86"/>
    <mergeCell ref="G86:H86"/>
    <mergeCell ref="I86:J86"/>
    <mergeCell ref="I87:J87"/>
    <mergeCell ref="L84:N84"/>
    <mergeCell ref="L85:N85"/>
    <mergeCell ref="L86:N86"/>
    <mergeCell ref="L87:N87"/>
    <mergeCell ref="L88:N88"/>
    <mergeCell ref="L89:N89"/>
    <mergeCell ref="A89:C89"/>
    <mergeCell ref="E89:F89"/>
    <mergeCell ref="G89:H89"/>
    <mergeCell ref="O89:P89"/>
    <mergeCell ref="O90:P90"/>
    <mergeCell ref="J107:O108"/>
    <mergeCell ref="H110:I110"/>
    <mergeCell ref="H111:I111"/>
    <mergeCell ref="S1:U1"/>
    <mergeCell ref="S2:U2"/>
    <mergeCell ref="L5:Q5"/>
    <mergeCell ref="D6:H6"/>
    <mergeCell ref="L6:Q6"/>
    <mergeCell ref="S6:U6"/>
    <mergeCell ref="L12:Q13"/>
    <mergeCell ref="L15:Q16"/>
    <mergeCell ref="J17:K17"/>
    <mergeCell ref="P17:Q17"/>
    <mergeCell ref="S17:U17"/>
    <mergeCell ref="L7:Q7"/>
    <mergeCell ref="L9:Q9"/>
    <mergeCell ref="S9:U9"/>
    <mergeCell ref="L10:Q10"/>
    <mergeCell ref="I13:J13"/>
    <mergeCell ref="S13:U13"/>
    <mergeCell ref="I14:J14"/>
    <mergeCell ref="D23:F23"/>
    <mergeCell ref="G23:H23"/>
    <mergeCell ref="I23:J23"/>
    <mergeCell ref="K23:L23"/>
    <mergeCell ref="N23:O23"/>
    <mergeCell ref="E17:H17"/>
    <mergeCell ref="A23:C23"/>
    <mergeCell ref="D9:E9"/>
    <mergeCell ref="D10:E10"/>
    <mergeCell ref="D11:E11"/>
    <mergeCell ref="D12:E12"/>
    <mergeCell ref="B24:C24"/>
    <mergeCell ref="E24:F24"/>
    <mergeCell ref="G24:H24"/>
    <mergeCell ref="I24:J24"/>
    <mergeCell ref="N24:O24"/>
    <mergeCell ref="E25:F25"/>
    <mergeCell ref="N25:O25"/>
    <mergeCell ref="N26:O26"/>
    <mergeCell ref="N27:O27"/>
    <mergeCell ref="B25:C25"/>
    <mergeCell ref="B26:C26"/>
    <mergeCell ref="E26:F26"/>
    <mergeCell ref="G26:H26"/>
    <mergeCell ref="I26:J26"/>
    <mergeCell ref="B27:C27"/>
    <mergeCell ref="I27:J27"/>
    <mergeCell ref="G25:H25"/>
    <mergeCell ref="I25:J25"/>
    <mergeCell ref="E27:F27"/>
    <mergeCell ref="G27:H27"/>
    <mergeCell ref="S28:X29"/>
    <mergeCell ref="E29:F29"/>
    <mergeCell ref="G29:H29"/>
    <mergeCell ref="I29:J29"/>
    <mergeCell ref="N29:O29"/>
    <mergeCell ref="I31:J31"/>
    <mergeCell ref="S31:X33"/>
    <mergeCell ref="G32:H32"/>
    <mergeCell ref="I32:J32"/>
    <mergeCell ref="J33:L33"/>
    <mergeCell ref="N30:O30"/>
    <mergeCell ref="N31:O31"/>
    <mergeCell ref="L34:N34"/>
    <mergeCell ref="G28:H28"/>
    <mergeCell ref="I28:J28"/>
    <mergeCell ref="B29:C29"/>
    <mergeCell ref="B30:C30"/>
    <mergeCell ref="E30:F30"/>
    <mergeCell ref="G30:H30"/>
    <mergeCell ref="I30:J30"/>
    <mergeCell ref="B31:C31"/>
    <mergeCell ref="E31:F31"/>
    <mergeCell ref="G31:H31"/>
    <mergeCell ref="A46:D46"/>
    <mergeCell ref="E46:G46"/>
    <mergeCell ref="A37:D37"/>
    <mergeCell ref="E37:G37"/>
    <mergeCell ref="H37:J37"/>
    <mergeCell ref="A38:D38"/>
    <mergeCell ref="E38:G38"/>
    <mergeCell ref="H38:I38"/>
    <mergeCell ref="A39:D39"/>
    <mergeCell ref="E39:G39"/>
    <mergeCell ref="H39:I39"/>
    <mergeCell ref="A44:D44"/>
    <mergeCell ref="E44:G44"/>
    <mergeCell ref="H44:I44"/>
    <mergeCell ref="A45:D45"/>
    <mergeCell ref="E45:G45"/>
    <mergeCell ref="I53:J53"/>
    <mergeCell ref="M53:O53"/>
    <mergeCell ref="M54:O54"/>
    <mergeCell ref="P54:Q54"/>
    <mergeCell ref="A52:C52"/>
    <mergeCell ref="D52:F52"/>
    <mergeCell ref="G52:H52"/>
    <mergeCell ref="I52:J52"/>
    <mergeCell ref="K52:L52"/>
    <mergeCell ref="P52:Q52"/>
    <mergeCell ref="B53:C53"/>
    <mergeCell ref="P53:Q53"/>
    <mergeCell ref="E53:F53"/>
    <mergeCell ref="G53:H53"/>
    <mergeCell ref="B54:C54"/>
    <mergeCell ref="E54:F54"/>
    <mergeCell ref="G54:H54"/>
    <mergeCell ref="I54:J54"/>
    <mergeCell ref="E59:F59"/>
    <mergeCell ref="G59:H59"/>
    <mergeCell ref="E55:F55"/>
    <mergeCell ref="G55:H55"/>
    <mergeCell ref="M62:O62"/>
    <mergeCell ref="M63:O63"/>
    <mergeCell ref="P63:Q63"/>
    <mergeCell ref="M58:O58"/>
    <mergeCell ref="M59:O59"/>
    <mergeCell ref="M60:O60"/>
    <mergeCell ref="P60:Q60"/>
    <mergeCell ref="M61:O61"/>
    <mergeCell ref="P61:Q61"/>
    <mergeCell ref="P62:Q62"/>
    <mergeCell ref="P57:Q57"/>
    <mergeCell ref="B55:C55"/>
    <mergeCell ref="B56:C56"/>
    <mergeCell ref="G56:H56"/>
    <mergeCell ref="I56:J56"/>
    <mergeCell ref="M56:O56"/>
    <mergeCell ref="P56:Q56"/>
    <mergeCell ref="B57:C57"/>
    <mergeCell ref="B58:C58"/>
    <mergeCell ref="E58:F58"/>
    <mergeCell ref="G58:H58"/>
    <mergeCell ref="I58:J58"/>
    <mergeCell ref="P58:Q58"/>
    <mergeCell ref="M55:O55"/>
    <mergeCell ref="P55:Q55"/>
    <mergeCell ref="M57:O57"/>
    <mergeCell ref="I55:J55"/>
    <mergeCell ref="E56:F56"/>
    <mergeCell ref="E57:F57"/>
    <mergeCell ref="G57:H57"/>
    <mergeCell ref="I57:J57"/>
    <mergeCell ref="P65:Q65"/>
    <mergeCell ref="G66:H66"/>
    <mergeCell ref="I66:J66"/>
    <mergeCell ref="P66:Q66"/>
    <mergeCell ref="B60:C60"/>
    <mergeCell ref="E60:F60"/>
    <mergeCell ref="G60:H60"/>
    <mergeCell ref="I60:J60"/>
    <mergeCell ref="I61:J61"/>
    <mergeCell ref="E61:F61"/>
    <mergeCell ref="G61:H61"/>
    <mergeCell ref="E62:F62"/>
    <mergeCell ref="G62:H62"/>
    <mergeCell ref="I62:J62"/>
    <mergeCell ref="B63:C63"/>
    <mergeCell ref="B64:C64"/>
    <mergeCell ref="B65:C65"/>
    <mergeCell ref="B66:C66"/>
    <mergeCell ref="M65:O65"/>
    <mergeCell ref="M66:O66"/>
    <mergeCell ref="E65:F65"/>
    <mergeCell ref="G65:H65"/>
    <mergeCell ref="I65:J65"/>
    <mergeCell ref="L8:Q8"/>
    <mergeCell ref="B67:C67"/>
    <mergeCell ref="B68:C68"/>
    <mergeCell ref="E63:F63"/>
    <mergeCell ref="E64:F64"/>
    <mergeCell ref="G64:H64"/>
    <mergeCell ref="I64:J64"/>
    <mergeCell ref="M64:O64"/>
    <mergeCell ref="P64:Q64"/>
    <mergeCell ref="G68:H68"/>
    <mergeCell ref="I68:J68"/>
    <mergeCell ref="G63:H63"/>
    <mergeCell ref="I63:J63"/>
    <mergeCell ref="E66:F66"/>
    <mergeCell ref="E67:F67"/>
    <mergeCell ref="G67:H67"/>
    <mergeCell ref="I67:J67"/>
    <mergeCell ref="M67:O67"/>
    <mergeCell ref="P67:Q67"/>
    <mergeCell ref="B59:C59"/>
    <mergeCell ref="I59:J59"/>
    <mergeCell ref="P59:Q59"/>
    <mergeCell ref="B61:C61"/>
    <mergeCell ref="B62:C62"/>
  </mergeCells>
  <dataValidations disablePrompts="1" count="4">
    <dataValidation type="list" allowBlank="1" showErrorMessage="1" sqref="D14" xr:uid="{00000000-0002-0000-0100-000000000000}">
      <formula1>"English,Deutsch"</formula1>
    </dataValidation>
    <dataValidation type="list" allowBlank="1" showErrorMessage="1" sqref="H126" xr:uid="{00000000-0002-0000-0100-000001000000}">
      <formula1>"X"</formula1>
    </dataValidation>
    <dataValidation type="list" allowBlank="1" showInputMessage="1" showErrorMessage="1" prompt="Y or N" sqref="N11 Q108" xr:uid="{00000000-0002-0000-0100-000002000000}">
      <formula1>"Y,N"</formula1>
    </dataValidation>
    <dataValidation type="list" allowBlank="1" showInputMessage="1" showErrorMessage="1" prompt="&lt;=4 , 6 , 8  or 10" sqref="G108" xr:uid="{00000000-0002-0000-0100-000003000000}">
      <formula1>"4,6,8,10"</formula1>
    </dataValidation>
  </dataValidations>
  <pageMargins left="0.70866141732283472" right="0.70866141732283472" top="0.78740157480314965" bottom="0.78740157480314965" header="0" footer="0"/>
  <pageSetup paperSize="9" scale="84" orientation="portrait" r:id="rId1"/>
  <headerFooter>
    <oddFooter>&amp;L&amp;F&amp;CPage &amp;P / &amp;R&amp;D</oddFooter>
  </headerFooter>
  <rowBreaks count="1" manualBreakCount="1">
    <brk id="73" max="16"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W1000"/>
  <sheetViews>
    <sheetView view="pageBreakPreview" zoomScaleNormal="100" zoomScaleSheetLayoutView="100" workbookViewId="0">
      <selection activeCell="M19" sqref="M19"/>
    </sheetView>
  </sheetViews>
  <sheetFormatPr defaultColWidth="12.5703125" defaultRowHeight="15" customHeight="1"/>
  <cols>
    <col min="1" max="1" width="5.28515625" customWidth="1"/>
    <col min="2" max="2" width="6.28515625" customWidth="1"/>
    <col min="3" max="3" width="6" customWidth="1"/>
    <col min="4" max="4" width="5.140625" customWidth="1"/>
    <col min="5" max="5" width="8.85546875" customWidth="1"/>
    <col min="6" max="6" width="5.7109375" customWidth="1"/>
    <col min="7" max="7" width="6.28515625" customWidth="1"/>
    <col min="8" max="8" width="6.5703125" customWidth="1"/>
    <col min="9" max="9" width="5.140625" customWidth="1"/>
    <col min="10" max="10" width="7.140625" customWidth="1"/>
    <col min="11" max="11" width="6.5703125" customWidth="1"/>
    <col min="12" max="12" width="5.7109375" customWidth="1"/>
    <col min="13" max="14" width="3.85546875" customWidth="1"/>
    <col min="15" max="15" width="2.7109375" customWidth="1"/>
    <col min="16" max="16" width="2.5703125" customWidth="1"/>
    <col min="17" max="17" width="3.42578125" customWidth="1"/>
    <col min="18" max="27" width="9.140625" hidden="1" customWidth="1"/>
    <col min="28" max="28" width="11.42578125" hidden="1" customWidth="1"/>
    <col min="29" max="29" width="9.140625" hidden="1" customWidth="1"/>
    <col min="30" max="49" width="9.140625" customWidth="1"/>
  </cols>
  <sheetData>
    <row r="1" spans="1:49" ht="23.1" customHeight="1">
      <c r="A1" s="206"/>
      <c r="B1" s="206"/>
      <c r="C1" s="206"/>
      <c r="D1" s="206"/>
      <c r="E1" s="206"/>
      <c r="F1" s="206"/>
      <c r="G1" s="1"/>
      <c r="H1" s="1"/>
      <c r="I1" s="1"/>
      <c r="J1" s="1"/>
      <c r="K1" s="1"/>
      <c r="L1" s="1"/>
      <c r="M1" s="1"/>
      <c r="N1" s="1"/>
      <c r="O1" s="1"/>
      <c r="P1" s="190"/>
      <c r="Q1" s="97" t="str">
        <f>IF($D$14="English","Test Report - Dual Range Truck Scale","Test Report - Zweibereich Fahrzeugwaage")</f>
        <v>Test Report - Dual Range Truck Scale</v>
      </c>
      <c r="R1" s="1" t="s">
        <v>0</v>
      </c>
      <c r="S1" s="224" t="s">
        <v>1</v>
      </c>
      <c r="T1" s="225"/>
      <c r="U1" s="226"/>
      <c r="V1" s="1"/>
      <c r="W1" s="1"/>
      <c r="X1" s="1"/>
      <c r="Y1" s="1"/>
      <c r="Z1" s="1"/>
      <c r="AA1" s="1"/>
      <c r="AB1" s="1"/>
      <c r="AC1" s="1"/>
      <c r="AD1" s="1"/>
      <c r="AE1" s="1"/>
      <c r="AF1" s="1"/>
      <c r="AG1" s="1"/>
      <c r="AH1" s="1"/>
      <c r="AI1" s="1"/>
      <c r="AJ1" s="1"/>
      <c r="AK1" s="1"/>
      <c r="AL1" s="1"/>
      <c r="AM1" s="1"/>
      <c r="AN1" s="1"/>
      <c r="AO1" s="1"/>
      <c r="AP1" s="1"/>
      <c r="AQ1" s="1"/>
      <c r="AR1" s="1"/>
      <c r="AS1" s="1"/>
      <c r="AT1" s="1"/>
      <c r="AU1" s="1"/>
      <c r="AV1" s="1"/>
      <c r="AW1" s="1"/>
    </row>
    <row r="2" spans="1:49" ht="12" customHeight="1">
      <c r="A2" s="206"/>
      <c r="B2" s="206"/>
      <c r="C2" s="206"/>
      <c r="D2" s="206"/>
      <c r="E2" s="206"/>
      <c r="F2" s="206"/>
      <c r="G2" s="1"/>
      <c r="H2" s="1"/>
      <c r="I2" s="1"/>
      <c r="J2" s="1"/>
      <c r="K2" s="1"/>
      <c r="L2" s="1"/>
      <c r="M2" s="1"/>
      <c r="N2" s="1"/>
      <c r="O2" s="1"/>
      <c r="P2" s="1"/>
      <c r="Q2" s="4"/>
      <c r="R2" s="1" t="s">
        <v>2</v>
      </c>
      <c r="S2" s="224" t="s">
        <v>3</v>
      </c>
      <c r="T2" s="225"/>
      <c r="U2" s="226"/>
      <c r="V2" s="1"/>
      <c r="W2" s="1"/>
      <c r="X2" s="1"/>
      <c r="Y2" s="1"/>
      <c r="Z2" s="1"/>
      <c r="AA2" s="1"/>
      <c r="AB2" s="1"/>
      <c r="AC2" s="1"/>
      <c r="AD2" s="1"/>
      <c r="AE2" s="1"/>
      <c r="AF2" s="1"/>
      <c r="AG2" s="1"/>
      <c r="AH2" s="1"/>
      <c r="AI2" s="1"/>
      <c r="AJ2" s="1"/>
      <c r="AK2" s="1"/>
      <c r="AL2" s="1"/>
      <c r="AM2" s="1"/>
      <c r="AN2" s="1"/>
      <c r="AO2" s="1"/>
      <c r="AP2" s="1"/>
      <c r="AQ2" s="1"/>
      <c r="AR2" s="1"/>
      <c r="AS2" s="1"/>
      <c r="AT2" s="1"/>
      <c r="AU2" s="1"/>
      <c r="AV2" s="1"/>
      <c r="AW2" s="1"/>
    </row>
    <row r="3" spans="1:49" ht="12" customHeight="1">
      <c r="A3" s="207"/>
      <c r="B3" s="207"/>
      <c r="C3" s="207"/>
      <c r="D3" s="207"/>
      <c r="E3" s="207"/>
      <c r="F3" s="207"/>
      <c r="G3" s="1"/>
      <c r="H3" s="1"/>
      <c r="I3" s="1"/>
      <c r="J3" s="1" t="str">
        <f>IF($D$14="English","Accuracy Class","Genauigkeitsklasse")</f>
        <v>Accuracy Class</v>
      </c>
      <c r="K3" s="1"/>
      <c r="L3" s="1"/>
      <c r="M3" s="1" t="s">
        <v>4</v>
      </c>
      <c r="N3" s="1"/>
      <c r="O3" s="4"/>
      <c r="P3" s="5"/>
      <c r="Q3" s="4"/>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row>
    <row r="4" spans="1:49" ht="12" customHeight="1">
      <c r="A4" s="209"/>
      <c r="B4" s="209"/>
      <c r="C4" s="209"/>
      <c r="D4" s="208"/>
      <c r="E4" s="208"/>
      <c r="F4" s="208"/>
      <c r="G4" s="1"/>
      <c r="H4" s="1"/>
      <c r="I4" s="1"/>
      <c r="J4" s="1"/>
      <c r="K4" s="1"/>
      <c r="L4" s="1"/>
      <c r="M4" s="1"/>
      <c r="N4" s="1"/>
      <c r="O4" s="1"/>
      <c r="P4" s="6"/>
      <c r="Q4" s="1"/>
      <c r="R4" s="1" t="s">
        <v>0</v>
      </c>
      <c r="S4" s="7" t="s">
        <v>5</v>
      </c>
      <c r="T4" s="1"/>
      <c r="U4" s="6"/>
      <c r="V4" s="8"/>
      <c r="W4" s="8"/>
      <c r="X4" s="1"/>
      <c r="Y4" s="1" t="s">
        <v>6</v>
      </c>
      <c r="Z4" s="1"/>
      <c r="AA4" s="1"/>
      <c r="AB4" s="1"/>
      <c r="AC4" s="1"/>
      <c r="AD4" s="1"/>
      <c r="AE4" s="1"/>
      <c r="AF4" s="1"/>
      <c r="AG4" s="1"/>
      <c r="AH4" s="1"/>
      <c r="AI4" s="1"/>
      <c r="AJ4" s="1"/>
      <c r="AK4" s="1"/>
      <c r="AL4" s="1"/>
      <c r="AM4" s="1"/>
      <c r="AN4" s="1"/>
      <c r="AO4" s="1"/>
      <c r="AP4" s="1"/>
      <c r="AQ4" s="1"/>
      <c r="AR4" s="1"/>
      <c r="AS4" s="1"/>
      <c r="AT4" s="1"/>
      <c r="AU4" s="1"/>
      <c r="AV4" s="1"/>
      <c r="AW4" s="1"/>
    </row>
    <row r="5" spans="1:49" ht="12" customHeight="1">
      <c r="A5" s="5"/>
      <c r="B5" s="1"/>
      <c r="C5" s="1"/>
      <c r="D5" s="1"/>
      <c r="E5" s="1"/>
      <c r="F5" s="1"/>
      <c r="G5" s="1"/>
      <c r="H5" s="1"/>
      <c r="I5" s="1"/>
      <c r="J5" s="1"/>
      <c r="K5" s="9" t="str">
        <f>IF($D$14="English","Test Date:","Testdatum")</f>
        <v>Test Date:</v>
      </c>
      <c r="L5" s="243"/>
      <c r="M5" s="215"/>
      <c r="N5" s="215"/>
      <c r="O5" s="215"/>
      <c r="P5" s="215"/>
      <c r="Q5" s="216"/>
      <c r="R5" s="1"/>
      <c r="S5" s="10" t="s">
        <v>7</v>
      </c>
      <c r="T5" s="1"/>
      <c r="U5" s="6"/>
      <c r="V5" s="8"/>
      <c r="W5" s="8"/>
      <c r="X5" s="1"/>
      <c r="Y5" s="1"/>
      <c r="Z5" s="1"/>
      <c r="AA5" s="1"/>
      <c r="AB5" s="1"/>
      <c r="AC5" s="1"/>
      <c r="AD5" s="1"/>
      <c r="AE5" s="1"/>
      <c r="AF5" s="1"/>
      <c r="AG5" s="1"/>
      <c r="AH5" s="1"/>
      <c r="AI5" s="1"/>
      <c r="AJ5" s="1"/>
      <c r="AK5" s="1"/>
      <c r="AL5" s="1"/>
      <c r="AM5" s="1"/>
      <c r="AN5" s="1"/>
      <c r="AO5" s="1"/>
      <c r="AP5" s="1"/>
      <c r="AQ5" s="1"/>
      <c r="AR5" s="1"/>
      <c r="AS5" s="1"/>
      <c r="AT5" s="1"/>
      <c r="AU5" s="1"/>
      <c r="AV5" s="1"/>
      <c r="AW5" s="1"/>
    </row>
    <row r="6" spans="1:49" ht="12" customHeight="1">
      <c r="A6" s="1"/>
      <c r="B6" s="1"/>
      <c r="C6" s="9" t="str">
        <f>IF($D$14="English","Part No.:","Modell Nr.")</f>
        <v>Part No.:</v>
      </c>
      <c r="D6" s="275"/>
      <c r="E6" s="215"/>
      <c r="F6" s="215"/>
      <c r="G6" s="215"/>
      <c r="H6" s="216"/>
      <c r="I6" s="1"/>
      <c r="J6" s="1"/>
      <c r="K6" s="9" t="str">
        <f>IF($D$14="English","Test Officer:","RVO")</f>
        <v>Test Officer:</v>
      </c>
      <c r="L6" s="214"/>
      <c r="M6" s="215"/>
      <c r="N6" s="215"/>
      <c r="O6" s="215"/>
      <c r="P6" s="215"/>
      <c r="Q6" s="216"/>
      <c r="R6" s="1"/>
      <c r="S6" s="234" t="s">
        <v>8</v>
      </c>
      <c r="T6" s="223"/>
      <c r="U6" s="220"/>
      <c r="V6" s="1"/>
      <c r="W6" s="1"/>
      <c r="X6" s="1"/>
      <c r="Y6" s="1"/>
      <c r="Z6" s="1"/>
      <c r="AA6" s="1"/>
      <c r="AB6" s="1"/>
      <c r="AC6" s="1"/>
      <c r="AD6" s="1"/>
      <c r="AE6" s="1"/>
      <c r="AF6" s="1"/>
      <c r="AG6" s="1"/>
      <c r="AH6" s="1"/>
      <c r="AI6" s="1"/>
      <c r="AJ6" s="1"/>
      <c r="AK6" s="1"/>
      <c r="AL6" s="1"/>
      <c r="AM6" s="1"/>
      <c r="AN6" s="1"/>
      <c r="AO6" s="1"/>
      <c r="AP6" s="1"/>
      <c r="AQ6" s="1"/>
      <c r="AR6" s="1"/>
      <c r="AS6" s="1"/>
      <c r="AT6" s="1"/>
      <c r="AU6" s="1"/>
      <c r="AV6" s="1"/>
      <c r="AW6" s="1"/>
    </row>
    <row r="7" spans="1:49" ht="12" customHeight="1">
      <c r="A7" s="1"/>
      <c r="B7" s="1"/>
      <c r="G7" s="1"/>
      <c r="H7" s="1"/>
      <c r="I7" s="1"/>
      <c r="J7" s="1"/>
      <c r="K7" s="9" t="str">
        <f>IF($D$14="English","Scale No.","Waagen S/N.")</f>
        <v>Scale No.</v>
      </c>
      <c r="L7" s="214"/>
      <c r="M7" s="215"/>
      <c r="N7" s="215"/>
      <c r="O7" s="215"/>
      <c r="P7" s="215"/>
      <c r="Q7" s="216"/>
      <c r="R7" s="1"/>
      <c r="S7" s="1" t="s">
        <v>9</v>
      </c>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row>
    <row r="8" spans="1:49" ht="12" customHeight="1">
      <c r="A8" s="1"/>
      <c r="B8" s="1"/>
      <c r="G8" s="1"/>
      <c r="H8" s="1"/>
      <c r="I8" s="1"/>
      <c r="J8" s="1"/>
      <c r="K8" s="9" t="str">
        <f>IF($D$14="English","Indicator S/N.","Waagen S/N.")</f>
        <v>Indicator S/N.</v>
      </c>
      <c r="L8" s="214"/>
      <c r="M8" s="215"/>
      <c r="N8" s="215"/>
      <c r="O8" s="215"/>
      <c r="P8" s="215"/>
      <c r="Q8" s="216"/>
      <c r="R8" s="1"/>
      <c r="S8" s="1" t="s">
        <v>9</v>
      </c>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row>
    <row r="9" spans="1:49" ht="12" customHeight="1">
      <c r="A9" s="1"/>
      <c r="B9" s="1"/>
      <c r="C9" s="6" t="s">
        <v>10</v>
      </c>
      <c r="D9" s="287"/>
      <c r="E9" s="216"/>
      <c r="F9" s="1" t="s">
        <v>11</v>
      </c>
      <c r="G9" s="1"/>
      <c r="H9" s="1"/>
      <c r="I9" s="1"/>
      <c r="J9" s="1"/>
      <c r="K9" s="9" t="str">
        <f>IF($D$14="English","TAC(Type Approval Certificate) Indicator","Bauartzulassung Wägeelektronik")</f>
        <v>TAC(Type Approval Certificate) Indicator</v>
      </c>
      <c r="L9" s="214"/>
      <c r="M9" s="215"/>
      <c r="N9" s="215"/>
      <c r="O9" s="215"/>
      <c r="P9" s="215"/>
      <c r="Q9" s="216"/>
      <c r="R9" s="1"/>
      <c r="S9" s="234" t="s">
        <v>12</v>
      </c>
      <c r="T9" s="223"/>
      <c r="U9" s="220"/>
      <c r="V9" s="1"/>
      <c r="W9" s="1"/>
      <c r="X9" s="1"/>
      <c r="Y9" s="1"/>
      <c r="Z9" s="1"/>
      <c r="AA9" s="1"/>
      <c r="AB9" s="1"/>
      <c r="AC9" s="1"/>
      <c r="AD9" s="1"/>
      <c r="AE9" s="1"/>
      <c r="AF9" s="1"/>
      <c r="AG9" s="1"/>
      <c r="AH9" s="1"/>
      <c r="AI9" s="1"/>
      <c r="AJ9" s="1"/>
      <c r="AK9" s="1"/>
      <c r="AL9" s="1"/>
      <c r="AM9" s="1"/>
      <c r="AN9" s="1"/>
      <c r="AO9" s="1"/>
      <c r="AP9" s="1"/>
      <c r="AQ9" s="1"/>
      <c r="AR9" s="1"/>
      <c r="AS9" s="1"/>
      <c r="AT9" s="1"/>
      <c r="AU9" s="1"/>
      <c r="AV9" s="1"/>
      <c r="AW9" s="1"/>
    </row>
    <row r="10" spans="1:49" ht="12" customHeight="1">
      <c r="A10" s="1"/>
      <c r="B10" s="1"/>
      <c r="C10" s="6" t="s">
        <v>13</v>
      </c>
      <c r="D10" s="287"/>
      <c r="E10" s="216"/>
      <c r="F10" s="1" t="s">
        <v>11</v>
      </c>
      <c r="G10" s="1"/>
      <c r="H10" s="1"/>
      <c r="I10" s="1"/>
      <c r="J10" s="1"/>
      <c r="K10" s="9" t="str">
        <f>IF($D$14="English","Firmware type and version:","Wägeelektronik Programm und Version")</f>
        <v>Firmware type and version:</v>
      </c>
      <c r="L10" s="214"/>
      <c r="M10" s="215"/>
      <c r="N10" s="215"/>
      <c r="O10" s="215"/>
      <c r="P10" s="215"/>
      <c r="Q10" s="216"/>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row>
    <row r="11" spans="1:49" ht="12.75" customHeight="1">
      <c r="A11" s="1"/>
      <c r="B11" s="1"/>
      <c r="C11" s="6" t="s">
        <v>14</v>
      </c>
      <c r="D11" s="288"/>
      <c r="E11" s="216"/>
      <c r="F11" s="1" t="s">
        <v>11</v>
      </c>
      <c r="G11" s="1"/>
      <c r="H11" s="6"/>
      <c r="I11" s="6"/>
      <c r="J11" s="6"/>
      <c r="K11" s="6"/>
      <c r="L11" s="6"/>
      <c r="M11" s="9" t="str">
        <f>IF($D$14="English","Test Weight Calibrations Current?","Standardgewichte kalibriert?")</f>
        <v>Test Weight Calibrations Current?</v>
      </c>
      <c r="N11" s="169"/>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row>
    <row r="12" spans="1:49" ht="12" customHeight="1">
      <c r="A12" s="7"/>
      <c r="B12" s="1"/>
      <c r="C12" s="6" t="s">
        <v>15</v>
      </c>
      <c r="D12" s="288"/>
      <c r="E12" s="216"/>
      <c r="F12" s="1" t="s">
        <v>11</v>
      </c>
      <c r="G12" s="1"/>
      <c r="H12" s="1"/>
      <c r="K12" s="9" t="str">
        <f>IF($D$14="English","Set-No. of Standard-Weights in use","Set-Nr. der Standardgewichte")</f>
        <v>Set-No. of Standard-Weights in use</v>
      </c>
      <c r="L12" s="247"/>
      <c r="M12" s="248"/>
      <c r="N12" s="248"/>
      <c r="O12" s="248"/>
      <c r="P12" s="248"/>
      <c r="Q12" s="249"/>
      <c r="R12" s="1" t="s">
        <v>0</v>
      </c>
      <c r="S12" s="7" t="s">
        <v>16</v>
      </c>
      <c r="T12" s="1"/>
      <c r="U12" s="6"/>
      <c r="V12" s="8"/>
      <c r="W12" s="8"/>
      <c r="X12" s="1"/>
      <c r="Y12" s="1" t="s">
        <v>17</v>
      </c>
      <c r="Z12" s="1"/>
      <c r="AA12" s="1"/>
      <c r="AB12" s="1"/>
      <c r="AC12" s="1"/>
      <c r="AD12" s="1"/>
      <c r="AE12" s="1"/>
      <c r="AF12" s="1"/>
      <c r="AG12" s="1"/>
      <c r="AH12" s="1"/>
      <c r="AI12" s="1"/>
      <c r="AJ12" s="1"/>
      <c r="AK12" s="1"/>
      <c r="AL12" s="1"/>
      <c r="AM12" s="1"/>
      <c r="AN12" s="1"/>
      <c r="AO12" s="1"/>
      <c r="AP12" s="1"/>
      <c r="AQ12" s="1"/>
      <c r="AR12" s="1"/>
      <c r="AS12" s="1"/>
      <c r="AT12" s="1"/>
      <c r="AU12" s="1"/>
      <c r="AV12" s="1"/>
      <c r="AW12" s="1"/>
    </row>
    <row r="13" spans="1:49" ht="12" customHeight="1">
      <c r="E13" s="16"/>
      <c r="F13" s="1"/>
      <c r="G13" s="6"/>
      <c r="H13" s="12" t="s">
        <v>18</v>
      </c>
      <c r="I13" s="254" t="str">
        <f>IF($D$11=0," ",$D$9/$D$11)</f>
        <v xml:space="preserve"> </v>
      </c>
      <c r="J13" s="237"/>
      <c r="L13" s="250"/>
      <c r="M13" s="251"/>
      <c r="N13" s="251"/>
      <c r="O13" s="251"/>
      <c r="P13" s="251"/>
      <c r="Q13" s="252"/>
      <c r="R13" s="1"/>
      <c r="S13" s="234" t="s">
        <v>8</v>
      </c>
      <c r="T13" s="223"/>
      <c r="U13" s="220"/>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row>
    <row r="14" spans="1:49" ht="12" customHeight="1">
      <c r="A14" s="14" t="s">
        <v>19</v>
      </c>
      <c r="B14" s="1"/>
      <c r="C14" s="1"/>
      <c r="D14" s="174" t="s">
        <v>0</v>
      </c>
      <c r="E14" s="1"/>
      <c r="F14" s="1"/>
      <c r="G14" s="6"/>
      <c r="H14" s="12" t="s">
        <v>20</v>
      </c>
      <c r="I14" s="254" t="str">
        <f>IF($D$12=0," ",$D$10/$D$12)</f>
        <v xml:space="preserve"> </v>
      </c>
      <c r="J14" s="237"/>
      <c r="K14" s="1"/>
      <c r="L14" s="1"/>
      <c r="M14" s="1"/>
      <c r="N14" s="1"/>
      <c r="O14" s="1"/>
      <c r="P14" s="1"/>
      <c r="Q14" s="1"/>
      <c r="R14" s="1" t="s">
        <v>2</v>
      </c>
      <c r="S14" s="7" t="s">
        <v>21</v>
      </c>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row>
    <row r="15" spans="1:49" ht="12" customHeight="1">
      <c r="A15" s="1"/>
      <c r="B15" s="1"/>
      <c r="C15" s="1"/>
      <c r="D15" s="1"/>
      <c r="E15" s="1"/>
      <c r="F15" s="1"/>
      <c r="G15" s="6"/>
      <c r="H15" s="12"/>
      <c r="I15" s="13"/>
      <c r="J15" s="13"/>
      <c r="K15" s="6" t="str">
        <f>IF($D$14="English","Set-No. Small Weights in use","Set-Nr. der kleinen Gewichte")</f>
        <v>Set-No. Small Weights in use</v>
      </c>
      <c r="L15" s="247"/>
      <c r="M15" s="248"/>
      <c r="N15" s="248"/>
      <c r="O15" s="248"/>
      <c r="P15" s="248"/>
      <c r="Q15" s="249"/>
      <c r="R15" s="1"/>
      <c r="S15" s="7"/>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row>
    <row r="16" spans="1:49" ht="12" customHeight="1">
      <c r="A16" s="1"/>
      <c r="B16" s="1"/>
      <c r="C16" s="1"/>
      <c r="D16" s="1"/>
      <c r="E16" s="1"/>
      <c r="F16" s="1"/>
      <c r="G16" s="6"/>
      <c r="H16" s="12"/>
      <c r="I16" s="13"/>
      <c r="J16" s="13"/>
      <c r="K16" s="1"/>
      <c r="L16" s="250"/>
      <c r="M16" s="251"/>
      <c r="N16" s="251"/>
      <c r="O16" s="251"/>
      <c r="P16" s="251"/>
      <c r="Q16" s="252"/>
      <c r="R16" s="1"/>
      <c r="S16" s="7"/>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row>
    <row r="17" spans="1:49" ht="17.25" customHeight="1">
      <c r="A17" s="7" t="str">
        <f>IF($D$14="English","Load Cell","Wägezelle")</f>
        <v>Load Cell</v>
      </c>
      <c r="B17" s="1"/>
      <c r="C17" s="1" t="str">
        <f>IF($D$14="English","Manufacturer","Hersteller")</f>
        <v>Manufacturer</v>
      </c>
      <c r="D17" s="1"/>
      <c r="E17" s="240"/>
      <c r="F17" s="215"/>
      <c r="G17" s="215"/>
      <c r="H17" s="216"/>
      <c r="I17" s="1" t="s">
        <v>22</v>
      </c>
      <c r="J17" s="253"/>
      <c r="K17" s="216"/>
      <c r="L17" s="1" t="str">
        <f>IF($D$14="English","Total number:","Gesamtanzahl:")</f>
        <v>Total number:</v>
      </c>
      <c r="M17" s="6"/>
      <c r="N17" s="6"/>
      <c r="O17" s="1"/>
      <c r="P17" s="253"/>
      <c r="Q17" s="216"/>
      <c r="R17" s="1"/>
      <c r="S17" s="234" t="s">
        <v>12</v>
      </c>
      <c r="T17" s="223"/>
      <c r="U17" s="220"/>
      <c r="V17" s="1"/>
      <c r="W17" s="1"/>
      <c r="X17" s="1"/>
      <c r="Y17" s="1" t="s">
        <v>23</v>
      </c>
      <c r="Z17" s="1"/>
      <c r="AA17" s="1"/>
      <c r="AB17" s="1"/>
      <c r="AC17" s="1"/>
      <c r="AD17" s="1"/>
      <c r="AE17" s="1"/>
      <c r="AF17" s="1"/>
      <c r="AG17" s="1"/>
      <c r="AH17" s="1"/>
      <c r="AI17" s="1"/>
      <c r="AJ17" s="1"/>
      <c r="AK17" s="1"/>
      <c r="AL17" s="1"/>
      <c r="AM17" s="1"/>
      <c r="AN17" s="1"/>
      <c r="AO17" s="1"/>
      <c r="AP17" s="1"/>
      <c r="AQ17" s="1"/>
      <c r="AR17" s="1"/>
      <c r="AS17" s="1"/>
      <c r="AT17" s="1"/>
      <c r="AU17" s="1"/>
      <c r="AV17" s="1"/>
      <c r="AW17" s="1"/>
    </row>
    <row r="18" spans="1:49" ht="12" customHeight="1">
      <c r="A18" s="1"/>
      <c r="B18" s="1"/>
      <c r="C18" s="1"/>
      <c r="D18" s="1"/>
      <c r="E18" s="1"/>
      <c r="F18" s="1"/>
      <c r="G18" s="6"/>
      <c r="J18" s="17"/>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row>
    <row r="19" spans="1:49" ht="12" customHeight="1">
      <c r="A19" s="7" t="str">
        <f>IF($D$14="English","1. Repeatability Test (indicator in hi-res mode):","1. Prüfung der Wiederholbarkeit (Indikator in Hi-Res-Modus):")</f>
        <v>1. Repeatability Test (indicator in hi-res mode):</v>
      </c>
      <c r="B19" s="1"/>
      <c r="C19" s="6"/>
      <c r="D19" s="8"/>
      <c r="E19" s="8"/>
      <c r="F19" s="1"/>
      <c r="G19" s="1"/>
      <c r="H19" s="1" t="str">
        <f>IF($D$14="English","accordance to EN45501-2015, A.4.10","gemäß EN45501-2015, A.4.10")</f>
        <v>accordance to EN45501-2015, A.4.10</v>
      </c>
      <c r="I19" s="1"/>
      <c r="J19" s="1"/>
      <c r="K19" s="6"/>
      <c r="L19" s="6"/>
      <c r="M19" s="6"/>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row>
    <row r="20" spans="1:49" ht="12" customHeight="1">
      <c r="A20" s="1" t="str">
        <f>IF($D$14="English","* The zero tracking device may be in operation for the repeatability test.","* Die Nullnachführung darf bei der Prüfung der Wiederholbarkeit eingeschaltet sein")</f>
        <v>* The zero tracking device may be in operation for the repeatability test.</v>
      </c>
      <c r="B20" s="1"/>
      <c r="C20" s="6"/>
      <c r="D20" s="8"/>
      <c r="E20" s="8"/>
      <c r="F20" s="1"/>
      <c r="G20" s="1"/>
      <c r="H20" s="1"/>
      <c r="I20" s="1"/>
      <c r="J20" s="1"/>
      <c r="K20" s="6"/>
      <c r="L20" s="6"/>
      <c r="M20" s="6"/>
      <c r="N20" s="1"/>
      <c r="O20" s="1"/>
      <c r="P20" s="1"/>
      <c r="Q20" s="1"/>
      <c r="R20" s="1" t="s">
        <v>0</v>
      </c>
      <c r="S20" s="7" t="s">
        <v>24</v>
      </c>
      <c r="T20" s="1"/>
      <c r="U20" s="6"/>
      <c r="V20" s="8"/>
      <c r="W20" s="8"/>
      <c r="X20" s="1" t="s">
        <v>25</v>
      </c>
      <c r="Y20" s="1"/>
      <c r="Z20" s="1"/>
      <c r="AA20" s="1"/>
      <c r="AB20" s="1"/>
      <c r="AC20" s="1"/>
      <c r="AD20" s="1"/>
      <c r="AE20" s="1"/>
      <c r="AF20" s="1"/>
      <c r="AG20" s="1"/>
      <c r="AH20" s="1"/>
      <c r="AI20" s="1"/>
      <c r="AJ20" s="1"/>
      <c r="AK20" s="1"/>
      <c r="AL20" s="1"/>
      <c r="AM20" s="1"/>
      <c r="AN20" s="1"/>
      <c r="AO20" s="1"/>
      <c r="AP20" s="1"/>
      <c r="AQ20" s="1"/>
      <c r="AR20" s="1"/>
      <c r="AS20" s="1"/>
      <c r="AT20" s="1"/>
      <c r="AU20" s="1"/>
      <c r="AV20" s="1"/>
      <c r="AW20" s="1"/>
    </row>
    <row r="21" spans="1:49" ht="12" customHeight="1">
      <c r="A21" s="14" t="str">
        <f>IF($D$14="English","Substitution of standard weights: Standard weights of at least 1 t or 50% Max must be available","Einsatz von Ersatzlasten: Standardgewichte von mindestens 1t oder 50%Max müssen vorhanden sein. ")</f>
        <v>Substitution of standard weights: Standard weights of at least 1 t or 50% Max must be available</v>
      </c>
      <c r="B21" s="1"/>
      <c r="C21" s="6"/>
      <c r="D21" s="8"/>
      <c r="E21" s="8"/>
      <c r="F21" s="1"/>
      <c r="G21" s="1"/>
      <c r="H21" s="1"/>
      <c r="I21" s="1"/>
      <c r="J21" s="1"/>
      <c r="K21" s="6"/>
      <c r="L21" s="6"/>
      <c r="M21" s="6"/>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row>
    <row r="22" spans="1:49" ht="12" customHeight="1">
      <c r="A22" s="1"/>
      <c r="B22" s="1"/>
      <c r="C22" s="6"/>
      <c r="D22" s="8"/>
      <c r="E22" s="8"/>
      <c r="F22" s="1"/>
      <c r="G22" s="1"/>
      <c r="H22" s="1"/>
      <c r="I22" s="1"/>
      <c r="J22" s="1"/>
      <c r="K22" s="6"/>
      <c r="L22" s="6"/>
      <c r="M22" s="6"/>
      <c r="N22" s="1"/>
      <c r="O22" s="1"/>
      <c r="P22" s="1"/>
      <c r="Q22" s="1"/>
      <c r="R22" s="1"/>
      <c r="S22" s="7"/>
      <c r="T22" s="1"/>
      <c r="U22" s="6"/>
      <c r="V22" s="8"/>
      <c r="W22" s="8"/>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row>
    <row r="23" spans="1:49" ht="12" customHeight="1">
      <c r="A23" s="234" t="str">
        <f>IF($D$14="English","load must be about","ungefähre Last")</f>
        <v>load must be about</v>
      </c>
      <c r="B23" s="223"/>
      <c r="C23" s="220"/>
      <c r="D23" s="231" t="s">
        <v>26</v>
      </c>
      <c r="E23" s="223"/>
      <c r="F23" s="220"/>
      <c r="G23" s="231" t="s">
        <v>27</v>
      </c>
      <c r="H23" s="220"/>
      <c r="I23" s="231" t="s">
        <v>28</v>
      </c>
      <c r="J23" s="220"/>
      <c r="K23" s="231" t="s">
        <v>29</v>
      </c>
      <c r="L23" s="220"/>
      <c r="M23" s="19" t="s">
        <v>30</v>
      </c>
      <c r="N23" s="231" t="s">
        <v>81</v>
      </c>
      <c r="O23" s="220"/>
      <c r="R23" s="23"/>
      <c r="S23" s="7"/>
      <c r="T23" s="1" t="s">
        <v>31</v>
      </c>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row>
    <row r="24" spans="1:49" ht="12" customHeight="1">
      <c r="A24" s="19" t="s">
        <v>32</v>
      </c>
      <c r="B24" s="239" t="s">
        <v>33</v>
      </c>
      <c r="C24" s="220"/>
      <c r="D24" s="19" t="s">
        <v>32</v>
      </c>
      <c r="E24" s="239" t="s">
        <v>33</v>
      </c>
      <c r="F24" s="220"/>
      <c r="G24" s="231" t="s">
        <v>33</v>
      </c>
      <c r="H24" s="220"/>
      <c r="I24" s="231" t="s">
        <v>33</v>
      </c>
      <c r="J24" s="223"/>
      <c r="K24" s="19" t="s">
        <v>33</v>
      </c>
      <c r="L24" s="21" t="s">
        <v>32</v>
      </c>
      <c r="M24" s="19" t="s">
        <v>34</v>
      </c>
      <c r="N24" s="231" t="s">
        <v>32</v>
      </c>
      <c r="O24" s="220"/>
      <c r="R24" s="23" t="s">
        <v>2</v>
      </c>
      <c r="S24" s="7" t="s">
        <v>35</v>
      </c>
      <c r="T24" s="23"/>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row>
    <row r="25" spans="1:49" ht="12" customHeight="1">
      <c r="A25" s="24" t="str">
        <f t="shared" ref="A25:A27" si="0">IF($D$11=0," ",0.5*$D$9/$D$11)</f>
        <v xml:space="preserve"> </v>
      </c>
      <c r="B25" s="282">
        <f t="shared" ref="B25:B27" si="1">0.5*$D$9</f>
        <v>0</v>
      </c>
      <c r="C25" s="220"/>
      <c r="D25" s="24" t="str">
        <f t="shared" ref="D25:D27" si="2">IF($D$11=0," ",E25/$D$11)</f>
        <v xml:space="preserve"> </v>
      </c>
      <c r="E25" s="284"/>
      <c r="F25" s="216"/>
      <c r="G25" s="285"/>
      <c r="H25" s="216"/>
      <c r="I25" s="268" t="str">
        <f t="shared" ref="I25:I27" si="3">IF(G25=0," ",ROUND((ABS(G25-E25)),4))</f>
        <v xml:space="preserve"> </v>
      </c>
      <c r="J25" s="220"/>
      <c r="K25" s="98">
        <f t="shared" ref="K25:K28" si="4">L25*$D$11</f>
        <v>0</v>
      </c>
      <c r="L25" s="26">
        <f t="shared" ref="L25:L27" si="5">IF(D25=" ",0,IF(D25&lt;=500,0.5,(IF(D25&lt;=2000,1,IF(D25&gt;2000,1.5," ")))))</f>
        <v>0</v>
      </c>
      <c r="M25" s="27" t="str">
        <f t="shared" ref="M25:M32" si="6">IF(I25&lt;=K25,"Y","N")</f>
        <v>N</v>
      </c>
      <c r="N25" s="270" t="str">
        <f t="shared" ref="N25:N27" si="7">IF(E25=0," ",ROUND(I25/$D$11,2))</f>
        <v xml:space="preserve"> </v>
      </c>
      <c r="O25" s="220"/>
      <c r="R25" s="23"/>
      <c r="S25" s="23"/>
      <c r="T25" s="1" t="s">
        <v>36</v>
      </c>
      <c r="U25" s="1"/>
      <c r="V25" s="1"/>
      <c r="W25" s="1"/>
      <c r="X25" s="1"/>
      <c r="Y25" s="1" t="s">
        <v>37</v>
      </c>
      <c r="Z25" s="1"/>
      <c r="AA25" s="1"/>
      <c r="AB25" s="1"/>
      <c r="AC25" s="1"/>
      <c r="AD25" s="1"/>
      <c r="AE25" s="1"/>
      <c r="AF25" s="1"/>
      <c r="AG25" s="1"/>
      <c r="AH25" s="1"/>
      <c r="AI25" s="1"/>
      <c r="AJ25" s="1"/>
      <c r="AK25" s="1"/>
      <c r="AL25" s="1"/>
      <c r="AM25" s="1"/>
      <c r="AN25" s="1"/>
      <c r="AO25" s="1"/>
      <c r="AP25" s="1"/>
      <c r="AQ25" s="1"/>
      <c r="AR25" s="1"/>
      <c r="AS25" s="1"/>
      <c r="AT25" s="1"/>
      <c r="AU25" s="1"/>
      <c r="AV25" s="1"/>
      <c r="AW25" s="1"/>
    </row>
    <row r="26" spans="1:49" ht="12" customHeight="1">
      <c r="A26" s="24" t="str">
        <f t="shared" si="0"/>
        <v xml:space="preserve"> </v>
      </c>
      <c r="B26" s="282">
        <f t="shared" si="1"/>
        <v>0</v>
      </c>
      <c r="C26" s="220"/>
      <c r="D26" s="24" t="str">
        <f t="shared" si="2"/>
        <v xml:space="preserve"> </v>
      </c>
      <c r="E26" s="282">
        <f>E25</f>
        <v>0</v>
      </c>
      <c r="F26" s="220"/>
      <c r="G26" s="285"/>
      <c r="H26" s="216"/>
      <c r="I26" s="268" t="str">
        <f t="shared" si="3"/>
        <v xml:space="preserve"> </v>
      </c>
      <c r="J26" s="220"/>
      <c r="K26" s="98">
        <f t="shared" si="4"/>
        <v>0</v>
      </c>
      <c r="L26" s="26">
        <f t="shared" si="5"/>
        <v>0</v>
      </c>
      <c r="M26" s="27" t="str">
        <f t="shared" si="6"/>
        <v>N</v>
      </c>
      <c r="N26" s="270" t="str">
        <f t="shared" si="7"/>
        <v xml:space="preserve"> </v>
      </c>
      <c r="O26" s="220"/>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row>
    <row r="27" spans="1:49" ht="12" customHeight="1">
      <c r="A27" s="24" t="str">
        <f t="shared" si="0"/>
        <v xml:space="preserve"> </v>
      </c>
      <c r="B27" s="282">
        <f t="shared" si="1"/>
        <v>0</v>
      </c>
      <c r="C27" s="220"/>
      <c r="D27" s="24" t="str">
        <f t="shared" si="2"/>
        <v xml:space="preserve"> </v>
      </c>
      <c r="E27" s="282">
        <f>E25</f>
        <v>0</v>
      </c>
      <c r="F27" s="220"/>
      <c r="G27" s="285"/>
      <c r="H27" s="216"/>
      <c r="I27" s="268" t="str">
        <f t="shared" si="3"/>
        <v xml:space="preserve"> </v>
      </c>
      <c r="J27" s="220"/>
      <c r="K27" s="98">
        <f t="shared" si="4"/>
        <v>0</v>
      </c>
      <c r="L27" s="26">
        <f t="shared" si="5"/>
        <v>0</v>
      </c>
      <c r="M27" s="27" t="str">
        <f t="shared" si="6"/>
        <v>N</v>
      </c>
      <c r="N27" s="270" t="str">
        <f t="shared" si="7"/>
        <v xml:space="preserve"> </v>
      </c>
      <c r="O27" s="220"/>
      <c r="P27" s="1"/>
      <c r="Q27" s="1"/>
      <c r="R27" s="1" t="s">
        <v>0</v>
      </c>
      <c r="S27" s="1" t="s">
        <v>38</v>
      </c>
      <c r="T27" s="1"/>
      <c r="U27" s="1"/>
      <c r="V27" s="1"/>
      <c r="W27" s="1"/>
      <c r="X27" s="1" t="s">
        <v>39</v>
      </c>
      <c r="Y27" s="1"/>
      <c r="Z27" s="1"/>
      <c r="AA27" s="1"/>
      <c r="AB27" s="1"/>
      <c r="AC27" s="1"/>
      <c r="AD27" s="1"/>
      <c r="AE27" s="1"/>
      <c r="AF27" s="1"/>
      <c r="AG27" s="1"/>
      <c r="AH27" s="1"/>
      <c r="AI27" s="1"/>
      <c r="AJ27" s="1"/>
      <c r="AK27" s="1"/>
      <c r="AL27" s="1"/>
      <c r="AM27" s="1"/>
      <c r="AN27" s="1"/>
      <c r="AO27" s="1"/>
      <c r="AP27" s="1"/>
      <c r="AQ27" s="1"/>
      <c r="AR27" s="1"/>
      <c r="AS27" s="1"/>
      <c r="AT27" s="1"/>
      <c r="AU27" s="1"/>
      <c r="AV27" s="1"/>
      <c r="AW27" s="1"/>
    </row>
    <row r="28" spans="1:49" ht="12" customHeight="1">
      <c r="A28" s="1"/>
      <c r="B28" s="99"/>
      <c r="C28" s="99"/>
      <c r="D28" s="1"/>
      <c r="E28" s="99"/>
      <c r="F28" s="99"/>
      <c r="G28" s="231" t="s">
        <v>88</v>
      </c>
      <c r="H28" s="220"/>
      <c r="I28" s="268">
        <f>IF(G25=0,0,ROUND((MAX(G25:H27)-MIN(G25:H27)),4))</f>
        <v>0</v>
      </c>
      <c r="J28" s="220"/>
      <c r="K28" s="98">
        <f t="shared" si="4"/>
        <v>0</v>
      </c>
      <c r="L28" s="26">
        <f>IF(OR(D25=" ",D26=" ",D27=" "),0,IF(AND(D25&lt;=500,D26&lt;=500,D27&lt;=500),0.5,(IF(AND(D25&lt;=2000,D26&lt;=2000,D27&lt;=2000),1,IF(AND(D25&gt;2000,D26&gt;2000,D27&gt;2000),1.5," ")))))</f>
        <v>0</v>
      </c>
      <c r="M28" s="27" t="str">
        <f t="shared" si="6"/>
        <v>Y</v>
      </c>
      <c r="P28" s="1"/>
      <c r="Q28" s="1"/>
      <c r="R28" s="1"/>
      <c r="S28" s="236" t="s">
        <v>41</v>
      </c>
      <c r="T28" s="237"/>
      <c r="U28" s="237"/>
      <c r="V28" s="237"/>
      <c r="W28" s="237"/>
      <c r="X28" s="237"/>
      <c r="Y28" s="1"/>
      <c r="Z28" s="1"/>
      <c r="AA28" s="1"/>
      <c r="AB28" s="1"/>
      <c r="AC28" s="1"/>
      <c r="AD28" s="1"/>
      <c r="AE28" s="1"/>
      <c r="AF28" s="1"/>
      <c r="AG28" s="1"/>
      <c r="AH28" s="1"/>
      <c r="AI28" s="1"/>
      <c r="AJ28" s="1"/>
      <c r="AK28" s="1"/>
      <c r="AL28" s="1"/>
      <c r="AM28" s="1"/>
      <c r="AN28" s="1"/>
      <c r="AO28" s="1"/>
      <c r="AP28" s="1"/>
      <c r="AQ28" s="1"/>
      <c r="AR28" s="1"/>
      <c r="AS28" s="1"/>
      <c r="AT28" s="1"/>
      <c r="AU28" s="1"/>
      <c r="AV28" s="1"/>
      <c r="AW28" s="1"/>
    </row>
    <row r="29" spans="1:49" ht="12" customHeight="1">
      <c r="A29" s="24" t="str">
        <f t="shared" ref="A29:A31" si="8">IF($D$11=0," ",0.5*$D$10/$D$12)</f>
        <v xml:space="preserve"> </v>
      </c>
      <c r="B29" s="282">
        <f t="shared" ref="B29:B31" si="9">0.5*$D$10</f>
        <v>0</v>
      </c>
      <c r="C29" s="220"/>
      <c r="D29" s="24" t="str">
        <f t="shared" ref="D29:D31" si="10">IF($D$12=0," ",E29/$D$12)</f>
        <v xml:space="preserve"> </v>
      </c>
      <c r="E29" s="284"/>
      <c r="F29" s="216"/>
      <c r="G29" s="285"/>
      <c r="H29" s="216"/>
      <c r="I29" s="268" t="str">
        <f t="shared" ref="I29:I31" si="11">IF(G29=0," ",ROUND((ABS(G29-E29)),4))</f>
        <v xml:space="preserve"> </v>
      </c>
      <c r="J29" s="220"/>
      <c r="K29" s="98">
        <f t="shared" ref="K29:K32" si="12">L29*$D$12</f>
        <v>0</v>
      </c>
      <c r="L29" s="26">
        <f t="shared" ref="L29:L31" si="13">IF(D29=" ",0,IF(D29&lt;=500,0.5,(IF(D29&lt;=2000,1,IF(D29&gt;2000,1.5," ")))))</f>
        <v>0</v>
      </c>
      <c r="M29" s="27" t="str">
        <f t="shared" si="6"/>
        <v>N</v>
      </c>
      <c r="N29" s="270" t="str">
        <f t="shared" ref="N29:N31" si="14">IF(E29=0," ",ROUND(I29/$D$12,2))</f>
        <v xml:space="preserve"> </v>
      </c>
      <c r="O29" s="220"/>
      <c r="P29" s="1"/>
      <c r="Q29" s="1"/>
      <c r="R29" s="1"/>
      <c r="S29" s="237"/>
      <c r="T29" s="237"/>
      <c r="U29" s="237"/>
      <c r="V29" s="237"/>
      <c r="W29" s="237"/>
      <c r="X29" s="237"/>
      <c r="Y29" s="1"/>
      <c r="Z29" s="9" t="s">
        <v>42</v>
      </c>
      <c r="AA29" s="1"/>
      <c r="AB29" s="1"/>
      <c r="AC29" s="1"/>
      <c r="AD29" s="1"/>
      <c r="AE29" s="1"/>
      <c r="AF29" s="1"/>
      <c r="AG29" s="1"/>
      <c r="AH29" s="1"/>
      <c r="AI29" s="1"/>
      <c r="AJ29" s="1"/>
      <c r="AK29" s="1"/>
      <c r="AL29" s="1"/>
      <c r="AM29" s="1"/>
      <c r="AN29" s="1"/>
      <c r="AO29" s="1"/>
      <c r="AP29" s="1"/>
      <c r="AQ29" s="1"/>
      <c r="AR29" s="1"/>
      <c r="AS29" s="1"/>
      <c r="AT29" s="1"/>
      <c r="AU29" s="1"/>
      <c r="AV29" s="1"/>
      <c r="AW29" s="1"/>
    </row>
    <row r="30" spans="1:49" ht="12" customHeight="1">
      <c r="A30" s="24" t="str">
        <f t="shared" si="8"/>
        <v xml:space="preserve"> </v>
      </c>
      <c r="B30" s="282">
        <f t="shared" si="9"/>
        <v>0</v>
      </c>
      <c r="C30" s="220"/>
      <c r="D30" s="24" t="str">
        <f t="shared" si="10"/>
        <v xml:space="preserve"> </v>
      </c>
      <c r="E30" s="282">
        <f>E29</f>
        <v>0</v>
      </c>
      <c r="F30" s="220"/>
      <c r="G30" s="285"/>
      <c r="H30" s="216"/>
      <c r="I30" s="268" t="str">
        <f t="shared" si="11"/>
        <v xml:space="preserve"> </v>
      </c>
      <c r="J30" s="220"/>
      <c r="K30" s="98">
        <f t="shared" si="12"/>
        <v>0</v>
      </c>
      <c r="L30" s="26">
        <f t="shared" si="13"/>
        <v>0</v>
      </c>
      <c r="M30" s="27" t="str">
        <f t="shared" si="6"/>
        <v>N</v>
      </c>
      <c r="N30" s="270" t="str">
        <f t="shared" si="14"/>
        <v xml:space="preserve"> </v>
      </c>
      <c r="O30" s="220"/>
      <c r="P30" s="1"/>
      <c r="Q30" s="13" t="str">
        <f>IF(AND(N25&gt;=N26,N25&gt;=N27,N25&gt;=N29,N25&gt;=N30,N25&gt;=N31),N25,IF(AND(N26&gt;=N25,N26&gt;=N27,N26&gt;=N29,N26&gt;=N30,N26&gt;=N31),N26,IF(AND(N27&gt;=N25,N27&gt;=N26,N27&gt;=N29,N27&gt;=N30,N27&gt;=N31),N27,IF(AND(N29&gt;=N25,N29&gt;=N26,N29&gt;=N27,N29&gt;=N30,N29&gt;=N31),N29,IF(AND(N30&gt;=N25,N30&gt;=N26,N30&gt;=N27,N30&gt;=N29,N30&gt;=N31),N30,IF(AND(N31&gt;=N25,N31&gt;=N26,N31&gt;=N27,N31&gt;=N29,N31&gt;=N30),N31))))))</f>
        <v xml:space="preserve"> </v>
      </c>
      <c r="R30" s="23" t="s">
        <v>2</v>
      </c>
      <c r="S30" s="1" t="s">
        <v>43</v>
      </c>
      <c r="T30" s="1"/>
      <c r="U30" s="1"/>
      <c r="V30" s="1"/>
      <c r="W30" s="1"/>
      <c r="X30" s="14" t="s">
        <v>89</v>
      </c>
      <c r="Y30" s="14"/>
      <c r="Z30" s="14"/>
      <c r="AA30" s="14"/>
      <c r="AB30" s="14"/>
      <c r="AC30" s="1"/>
      <c r="AD30" s="1"/>
      <c r="AE30" s="1"/>
      <c r="AF30" s="1"/>
      <c r="AG30" s="1"/>
      <c r="AH30" s="1"/>
      <c r="AI30" s="1"/>
      <c r="AJ30" s="1"/>
      <c r="AK30" s="1"/>
      <c r="AL30" s="1"/>
      <c r="AM30" s="1"/>
      <c r="AN30" s="1"/>
      <c r="AO30" s="1"/>
      <c r="AP30" s="1"/>
      <c r="AQ30" s="1"/>
      <c r="AR30" s="1"/>
      <c r="AS30" s="1"/>
      <c r="AT30" s="1"/>
      <c r="AU30" s="1"/>
      <c r="AV30" s="1"/>
      <c r="AW30" s="1"/>
    </row>
    <row r="31" spans="1:49" ht="12" customHeight="1">
      <c r="A31" s="24" t="str">
        <f t="shared" si="8"/>
        <v xml:space="preserve"> </v>
      </c>
      <c r="B31" s="282">
        <f t="shared" si="9"/>
        <v>0</v>
      </c>
      <c r="C31" s="220"/>
      <c r="D31" s="24" t="str">
        <f t="shared" si="10"/>
        <v xml:space="preserve"> </v>
      </c>
      <c r="E31" s="282">
        <f>E29</f>
        <v>0</v>
      </c>
      <c r="F31" s="220"/>
      <c r="G31" s="285"/>
      <c r="H31" s="216"/>
      <c r="I31" s="268" t="str">
        <f t="shared" si="11"/>
        <v xml:space="preserve"> </v>
      </c>
      <c r="J31" s="220"/>
      <c r="K31" s="98">
        <f t="shared" si="12"/>
        <v>0</v>
      </c>
      <c r="L31" s="26">
        <f t="shared" si="13"/>
        <v>0</v>
      </c>
      <c r="M31" s="27" t="str">
        <f t="shared" si="6"/>
        <v>N</v>
      </c>
      <c r="N31" s="270" t="str">
        <f t="shared" si="14"/>
        <v xml:space="preserve"> </v>
      </c>
      <c r="O31" s="220"/>
      <c r="P31" s="1"/>
      <c r="Q31" s="1"/>
      <c r="R31" s="1"/>
      <c r="S31" s="236" t="s">
        <v>45</v>
      </c>
      <c r="T31" s="237"/>
      <c r="U31" s="237"/>
      <c r="V31" s="237"/>
      <c r="W31" s="237"/>
      <c r="X31" s="237"/>
      <c r="Y31" s="1" t="s">
        <v>46</v>
      </c>
      <c r="Z31" s="1"/>
      <c r="AA31" s="1"/>
      <c r="AB31" s="1"/>
      <c r="AC31" s="1"/>
      <c r="AD31" s="1"/>
      <c r="AE31" s="1"/>
      <c r="AF31" s="1"/>
      <c r="AG31" s="1"/>
      <c r="AH31" s="1"/>
      <c r="AI31" s="1"/>
      <c r="AJ31" s="1"/>
      <c r="AK31" s="1"/>
      <c r="AL31" s="1"/>
      <c r="AM31" s="1"/>
      <c r="AN31" s="1"/>
      <c r="AO31" s="1"/>
      <c r="AP31" s="1"/>
      <c r="AQ31" s="1"/>
      <c r="AR31" s="1"/>
      <c r="AS31" s="1"/>
      <c r="AT31" s="1"/>
      <c r="AU31" s="1"/>
      <c r="AV31" s="1"/>
      <c r="AW31" s="1"/>
    </row>
    <row r="32" spans="1:49" ht="12" customHeight="1">
      <c r="A32" s="28"/>
      <c r="B32" s="100"/>
      <c r="C32" s="101"/>
      <c r="D32" s="28"/>
      <c r="E32" s="100"/>
      <c r="F32" s="101"/>
      <c r="G32" s="231" t="s">
        <v>90</v>
      </c>
      <c r="H32" s="220"/>
      <c r="I32" s="268">
        <f>IF(G29=0,0,ROUND((MAX(G29:H31)-MIN(G29:H31)),4))</f>
        <v>0</v>
      </c>
      <c r="J32" s="220"/>
      <c r="K32" s="98">
        <f t="shared" si="12"/>
        <v>0</v>
      </c>
      <c r="L32" s="26">
        <f>IF(OR(D29=" ",D30=" ",D31=" "),0,IF(AND(D29&lt;=500,D30&lt;=500,D31&lt;=500),0.5,(IF(AND(D29&lt;=2000,D30&lt;=2000,D31&lt;=2000),1,IF(AND(D29&gt;2000,D30&gt;2000,D31&gt;2000),1.5," ")))))</f>
        <v>0</v>
      </c>
      <c r="M32" s="27" t="str">
        <f t="shared" si="6"/>
        <v>Y</v>
      </c>
      <c r="N32" s="43"/>
      <c r="O32" s="43"/>
      <c r="P32" s="1"/>
      <c r="Q32" s="1"/>
      <c r="R32" s="1"/>
      <c r="S32" s="237"/>
      <c r="T32" s="237"/>
      <c r="U32" s="237"/>
      <c r="V32" s="237"/>
      <c r="W32" s="237"/>
      <c r="X32" s="237"/>
      <c r="Y32" s="1"/>
      <c r="Z32" s="1"/>
      <c r="AA32" s="1"/>
      <c r="AB32" s="1"/>
      <c r="AC32" s="1"/>
      <c r="AD32" s="1"/>
      <c r="AE32" s="1"/>
      <c r="AF32" s="1"/>
      <c r="AG32" s="1"/>
      <c r="AH32" s="1"/>
      <c r="AI32" s="1"/>
      <c r="AJ32" s="1"/>
      <c r="AK32" s="1"/>
      <c r="AL32" s="1"/>
      <c r="AM32" s="1"/>
      <c r="AN32" s="1"/>
      <c r="AO32" s="1"/>
      <c r="AP32" s="1"/>
      <c r="AQ32" s="1"/>
      <c r="AR32" s="1"/>
      <c r="AS32" s="1"/>
      <c r="AT32" s="1"/>
      <c r="AU32" s="1"/>
      <c r="AV32" s="1"/>
      <c r="AW32" s="1"/>
    </row>
    <row r="33" spans="1:49" ht="12" customHeight="1">
      <c r="A33" s="1"/>
      <c r="B33" s="1"/>
      <c r="C33" s="1"/>
      <c r="D33" s="1"/>
      <c r="E33" s="1"/>
      <c r="F33" s="1"/>
      <c r="G33" s="1"/>
      <c r="H33" s="1"/>
      <c r="I33" s="1"/>
      <c r="J33" s="224" t="str">
        <f>IF($D$14="English","Test passed?","Test bestanden?")</f>
        <v>Test passed?</v>
      </c>
      <c r="K33" s="225"/>
      <c r="L33" s="226"/>
      <c r="M33" s="27" t="str">
        <f>IF(AND(M25="Y",M26="Y",M27="Y",M28="Y",M29="Y",M30="Y",M31="Y",M32="Y"),"Y","N")</f>
        <v>N</v>
      </c>
      <c r="N33" s="1"/>
      <c r="O33" s="1"/>
      <c r="P33" s="1"/>
      <c r="Q33" s="1"/>
      <c r="R33" s="1"/>
      <c r="S33" s="237"/>
      <c r="T33" s="237"/>
      <c r="U33" s="237"/>
      <c r="V33" s="237"/>
      <c r="W33" s="237"/>
      <c r="X33" s="237"/>
      <c r="Y33" s="1"/>
      <c r="Z33" s="1"/>
      <c r="AA33" s="1"/>
      <c r="AB33" s="1"/>
      <c r="AC33" s="1"/>
      <c r="AD33" s="1"/>
      <c r="AE33" s="1"/>
      <c r="AF33" s="1"/>
      <c r="AG33" s="1"/>
      <c r="AH33" s="1"/>
      <c r="AI33" s="1"/>
      <c r="AJ33" s="1"/>
      <c r="AK33" s="1"/>
      <c r="AL33" s="1"/>
      <c r="AM33" s="1"/>
      <c r="AN33" s="1"/>
      <c r="AO33" s="1"/>
      <c r="AP33" s="1"/>
      <c r="AQ33" s="1"/>
      <c r="AR33" s="1"/>
      <c r="AS33" s="1"/>
      <c r="AT33" s="1"/>
      <c r="AU33" s="1"/>
      <c r="AV33" s="1"/>
      <c r="AW33" s="1"/>
    </row>
    <row r="34" spans="1:49" ht="14.25" customHeight="1">
      <c r="A34" s="1"/>
      <c r="B34" s="1"/>
      <c r="C34" s="1"/>
      <c r="D34" s="1" t="e">
        <f>IF(#REF!="deutsch","Anteil Eichgewichte:","Contingent of standard weights:")</f>
        <v>#REF!</v>
      </c>
      <c r="E34" s="85"/>
      <c r="F34" s="85"/>
      <c r="G34" s="13"/>
      <c r="H34" s="13"/>
      <c r="I34" s="7" t="str">
        <f>IF(OR(D11=0,D12=0)," ",IF(AND(ROUND(I28/D11,2)&lt;=0.2,ROUND(I32/D12,2)&lt;=0.2),"1/5 Max",IF(AND(ROUND(I28/D11,2)&lt;=0.3,ROUND(I32/D12,2)&lt;=0.3),"1/3 Max","1/2 Max")))</f>
        <v xml:space="preserve"> </v>
      </c>
      <c r="J34" s="13"/>
      <c r="K34" s="86" t="s">
        <v>85</v>
      </c>
      <c r="L34" s="273" t="str">
        <f>IF(OR(D11=0,D12=0)," ",IF(AND(ROUND(I28/D11,2)&lt;=0.2,ROUND(I32/D12,2)&lt;=0.2),D10/5,IF(AND(ROUND(I28/D11,2)&lt;=0.3,ROUND(I32/D12,2)&lt;=0.3),D10/3,D10/2)))</f>
        <v xml:space="preserve"> </v>
      </c>
      <c r="M34" s="237"/>
      <c r="N34" s="237"/>
      <c r="O34" s="13" t="s">
        <v>11</v>
      </c>
      <c r="P34" s="1"/>
      <c r="Q34" s="1"/>
      <c r="R34" s="88"/>
      <c r="S34" s="1"/>
      <c r="AA34" s="1"/>
      <c r="AB34" s="1"/>
      <c r="AC34" s="1"/>
      <c r="AD34" s="1"/>
      <c r="AE34" s="1"/>
      <c r="AF34" s="1"/>
      <c r="AG34" s="1"/>
      <c r="AH34" s="1"/>
      <c r="AI34" s="1"/>
      <c r="AJ34" s="1"/>
      <c r="AK34" s="1"/>
      <c r="AL34" s="1"/>
      <c r="AM34" s="1"/>
      <c r="AN34" s="1"/>
      <c r="AO34" s="1"/>
      <c r="AP34" s="1"/>
      <c r="AQ34" s="1"/>
      <c r="AR34" s="1"/>
      <c r="AS34" s="1"/>
      <c r="AT34" s="1"/>
      <c r="AU34" s="1"/>
      <c r="AV34" s="1"/>
      <c r="AW34" s="1"/>
    </row>
    <row r="35" spans="1:49" ht="14.25" customHeight="1">
      <c r="A35" s="1"/>
      <c r="B35" s="1"/>
      <c r="C35" s="1"/>
      <c r="D35" s="1"/>
      <c r="E35" s="85"/>
      <c r="F35" s="85"/>
      <c r="G35" s="13"/>
      <c r="H35" s="13"/>
      <c r="I35" s="88"/>
      <c r="J35" s="13"/>
      <c r="K35" s="86"/>
      <c r="L35" s="87"/>
      <c r="M35" s="89"/>
      <c r="N35" s="13"/>
      <c r="O35" s="13"/>
      <c r="P35" s="1"/>
      <c r="Q35" s="1"/>
      <c r="R35" s="88"/>
      <c r="S35" s="1"/>
      <c r="AA35" s="1"/>
      <c r="AB35" s="1"/>
      <c r="AC35" s="1"/>
      <c r="AD35" s="1"/>
      <c r="AE35" s="1"/>
      <c r="AF35" s="1"/>
      <c r="AG35" s="1"/>
      <c r="AH35" s="1"/>
      <c r="AI35" s="1"/>
      <c r="AJ35" s="1"/>
      <c r="AK35" s="1"/>
      <c r="AL35" s="1"/>
      <c r="AM35" s="1"/>
      <c r="AN35" s="1"/>
      <c r="AO35" s="1"/>
      <c r="AP35" s="1"/>
      <c r="AQ35" s="1"/>
      <c r="AR35" s="1"/>
      <c r="AS35" s="1"/>
      <c r="AT35" s="1"/>
      <c r="AU35" s="1"/>
      <c r="AV35" s="1"/>
      <c r="AW35" s="1"/>
    </row>
    <row r="36" spans="1:49" ht="15.75" customHeight="1">
      <c r="A36" s="7" t="str">
        <f>IF($D$14="English","2.  Accuracy of Zero Device (hi-res mode: off):","2.  Prüfung der Genauigkeit der Nullstellung (Hi-Res-Modus aus):")</f>
        <v>2.  Accuracy of Zero Device (hi-res mode: off):</v>
      </c>
      <c r="B36" s="1"/>
      <c r="C36" s="1"/>
      <c r="D36" s="1"/>
      <c r="E36" s="1"/>
      <c r="F36" s="1"/>
      <c r="G36" s="1"/>
      <c r="H36" s="1" t="str">
        <f>IF($D$14="English","accordance to EN45501-2015, A.4.2.3","gemäß EN45501-2015, A.4.2.3")</f>
        <v>accordance to EN45501-2015, A.4.2.3</v>
      </c>
      <c r="I36" s="1"/>
      <c r="J36" s="1"/>
      <c r="K36" s="1"/>
      <c r="L36" s="30"/>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row>
    <row r="37" spans="1:49" ht="12" customHeight="1">
      <c r="A37" s="231" t="s">
        <v>48</v>
      </c>
      <c r="B37" s="223"/>
      <c r="C37" s="223"/>
      <c r="D37" s="220"/>
      <c r="E37" s="231" t="s">
        <v>49</v>
      </c>
      <c r="F37" s="223"/>
      <c r="G37" s="220"/>
      <c r="H37" s="231" t="s">
        <v>29</v>
      </c>
      <c r="I37" s="223"/>
      <c r="J37" s="220"/>
      <c r="K37" s="19" t="s">
        <v>30</v>
      </c>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row>
    <row r="38" spans="1:49" ht="12.75" customHeight="1">
      <c r="A38" s="231" t="s">
        <v>33</v>
      </c>
      <c r="B38" s="223"/>
      <c r="C38" s="223"/>
      <c r="D38" s="220"/>
      <c r="E38" s="231" t="s">
        <v>33</v>
      </c>
      <c r="F38" s="223"/>
      <c r="G38" s="220"/>
      <c r="H38" s="231" t="s">
        <v>33</v>
      </c>
      <c r="I38" s="220"/>
      <c r="J38" s="19" t="s">
        <v>32</v>
      </c>
      <c r="K38" s="19" t="s">
        <v>34</v>
      </c>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row>
    <row r="39" spans="1:49" ht="12" customHeight="1">
      <c r="A39" s="286">
        <v>0.6</v>
      </c>
      <c r="B39" s="215"/>
      <c r="C39" s="215"/>
      <c r="D39" s="216"/>
      <c r="E39" s="268">
        <f>0.5*$D$11-$A$39</f>
        <v>-0.6</v>
      </c>
      <c r="F39" s="223"/>
      <c r="G39" s="220"/>
      <c r="H39" s="270">
        <f>J39*$D$11</f>
        <v>0</v>
      </c>
      <c r="I39" s="220"/>
      <c r="J39" s="24">
        <v>0.25</v>
      </c>
      <c r="K39" s="27" t="str">
        <f>IF(D39=" ","N",IF(H39&gt;=ABS($E39),"Y","N"))</f>
        <v>N</v>
      </c>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row>
    <row r="40" spans="1:49" ht="12" customHeight="1">
      <c r="A40" s="7"/>
      <c r="B40" s="7"/>
      <c r="C40" s="1"/>
      <c r="D40" s="1"/>
      <c r="E40" s="1"/>
      <c r="F40" s="1"/>
      <c r="G40" s="1"/>
      <c r="H40" s="1"/>
      <c r="I40" s="1"/>
      <c r="J40" s="6" t="str">
        <f>IF($D$14="English","Test passed?","Test bestanden?")</f>
        <v>Test passed?</v>
      </c>
      <c r="K40" s="27" t="str">
        <f>IF(K39="Y","Y","N")</f>
        <v>N</v>
      </c>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row>
    <row r="41" spans="1:49" ht="12" customHeight="1">
      <c r="A41" s="7"/>
      <c r="B41" s="1"/>
      <c r="C41" s="1"/>
      <c r="D41" s="1"/>
      <c r="E41" s="1"/>
      <c r="F41" s="1"/>
      <c r="G41" s="1"/>
      <c r="H41" s="1"/>
      <c r="I41" s="1"/>
      <c r="J41" s="1"/>
      <c r="K41" s="1"/>
      <c r="L41" s="30"/>
      <c r="M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row>
    <row r="42" spans="1:49" ht="12" customHeight="1">
      <c r="A42" s="7" t="str">
        <f>IF($D$14="English","3.  Accuracy of Tare Device  (hi-res mode: off):","3.  Genauigkeit der Tarierung  (Hi-Res-Modus: aus):")</f>
        <v>3.  Accuracy of Tare Device  (hi-res mode: off):</v>
      </c>
      <c r="B42" s="31"/>
      <c r="C42" s="32"/>
      <c r="D42" s="1"/>
      <c r="E42" s="1"/>
      <c r="F42" s="1"/>
      <c r="G42" s="1" t="str">
        <f>IF($D$14="English","accordance to EN45501-2015, A.4.6.2","gemäß EN45501-2015, A.4.6.2")</f>
        <v>accordance to EN45501-2015, A.4.6.2</v>
      </c>
      <c r="H42" s="1"/>
      <c r="J42" s="17"/>
      <c r="K42" s="1"/>
      <c r="L42" s="1"/>
      <c r="M42" s="33" t="s">
        <v>50</v>
      </c>
      <c r="O42" s="34"/>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row>
    <row r="43" spans="1:49" ht="12" customHeight="1">
      <c r="A43" s="1"/>
      <c r="B43" s="31"/>
      <c r="C43" s="32"/>
      <c r="D43" s="1"/>
      <c r="E43" s="1"/>
      <c r="F43" s="1"/>
      <c r="G43" s="6"/>
      <c r="H43" s="1"/>
      <c r="J43" s="17"/>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row>
    <row r="44" spans="1:49" ht="12" customHeight="1">
      <c r="A44" s="231" t="s">
        <v>48</v>
      </c>
      <c r="B44" s="223"/>
      <c r="C44" s="223"/>
      <c r="D44" s="220"/>
      <c r="E44" s="231" t="s">
        <v>51</v>
      </c>
      <c r="F44" s="223"/>
      <c r="G44" s="220"/>
      <c r="H44" s="231" t="s">
        <v>29</v>
      </c>
      <c r="I44" s="220"/>
      <c r="J44" s="19" t="s">
        <v>30</v>
      </c>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row>
    <row r="45" spans="1:49" ht="12" customHeight="1">
      <c r="A45" s="231" t="s">
        <v>33</v>
      </c>
      <c r="B45" s="223"/>
      <c r="C45" s="223"/>
      <c r="D45" s="220"/>
      <c r="E45" s="231" t="s">
        <v>33</v>
      </c>
      <c r="F45" s="223"/>
      <c r="G45" s="220"/>
      <c r="H45" s="19" t="s">
        <v>33</v>
      </c>
      <c r="I45" s="21" t="s">
        <v>32</v>
      </c>
      <c r="J45" s="19" t="s">
        <v>34</v>
      </c>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row>
    <row r="46" spans="1:49" ht="12" customHeight="1">
      <c r="A46" s="286">
        <v>0.7</v>
      </c>
      <c r="B46" s="215"/>
      <c r="C46" s="215"/>
      <c r="D46" s="216"/>
      <c r="E46" s="268">
        <f>IF(A46=0," ",0.5*$D$11-$A$46)</f>
        <v>-0.7</v>
      </c>
      <c r="F46" s="223"/>
      <c r="G46" s="220"/>
      <c r="H46" s="90">
        <f>I46*$D$11</f>
        <v>0</v>
      </c>
      <c r="I46" s="36">
        <v>0.25</v>
      </c>
      <c r="J46" s="27" t="str">
        <f>IF(A46=0," ",IF(H46&gt;=ABS($E46),"Y","N"))</f>
        <v>N</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row>
    <row r="47" spans="1:49" ht="12" customHeight="1">
      <c r="A47" s="7"/>
      <c r="B47" s="7"/>
      <c r="C47" s="1"/>
      <c r="D47" s="1"/>
      <c r="E47" s="1"/>
      <c r="F47" s="1"/>
      <c r="G47" s="1"/>
      <c r="H47" s="1"/>
      <c r="I47" s="6" t="str">
        <f>IF($D$14="English","Test passed?","Test bestanden?")</f>
        <v>Test passed?</v>
      </c>
      <c r="J47" s="27" t="str">
        <f>IF(J46="Y","Y","N")</f>
        <v>N</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row>
    <row r="48" spans="1:49" ht="12" customHeight="1">
      <c r="A48" s="1"/>
      <c r="B48" s="1"/>
      <c r="C48" s="1"/>
      <c r="D48" s="1"/>
      <c r="E48" s="1"/>
      <c r="F48" s="1"/>
      <c r="G48" s="6"/>
      <c r="J48" s="17"/>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row>
    <row r="49" spans="1:49" ht="12" customHeight="1">
      <c r="A49" s="1"/>
      <c r="B49" s="1"/>
      <c r="C49" s="1"/>
      <c r="D49" s="1"/>
      <c r="E49" s="1"/>
      <c r="F49" s="1"/>
      <c r="G49" s="1"/>
      <c r="H49" s="1"/>
      <c r="I49" s="1"/>
      <c r="J49" s="6"/>
      <c r="N49" s="1"/>
      <c r="O49" s="1"/>
      <c r="P49" s="1"/>
      <c r="Q49" s="1"/>
      <c r="R49" s="1"/>
      <c r="S49" s="29"/>
      <c r="T49" s="29"/>
      <c r="U49" s="29"/>
      <c r="V49" s="29"/>
      <c r="W49" s="29"/>
      <c r="X49" s="29"/>
      <c r="Y49" s="1"/>
      <c r="Z49" s="1"/>
      <c r="AA49" s="1"/>
      <c r="AB49" s="1"/>
      <c r="AC49" s="1"/>
      <c r="AD49" s="1"/>
      <c r="AE49" s="1"/>
      <c r="AF49" s="1"/>
      <c r="AG49" s="1"/>
      <c r="AH49" s="1"/>
      <c r="AI49" s="1"/>
      <c r="AJ49" s="1"/>
      <c r="AK49" s="1"/>
      <c r="AL49" s="1"/>
      <c r="AM49" s="1"/>
      <c r="AN49" s="1"/>
      <c r="AO49" s="1"/>
      <c r="AP49" s="1"/>
      <c r="AQ49" s="1"/>
      <c r="AR49" s="1"/>
      <c r="AS49" s="1"/>
      <c r="AT49" s="1"/>
      <c r="AU49" s="1"/>
      <c r="AV49" s="1"/>
      <c r="AW49" s="1"/>
    </row>
    <row r="50" spans="1:49" ht="12" customHeight="1">
      <c r="A50" s="1"/>
      <c r="B50" s="1"/>
      <c r="C50" s="1"/>
      <c r="D50" s="1"/>
      <c r="E50" s="1"/>
      <c r="F50" s="1"/>
      <c r="G50" s="6"/>
      <c r="J50" s="17"/>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row>
    <row r="51" spans="1:49" ht="12" customHeight="1">
      <c r="A51" s="7" t="str">
        <f>IF($D$14="English","4.  Weighing / Linearity Test (Indicator in hi-res mode):","4. Prüfung der Richtigkeit mit Normallast (Indikator in Hi-Res-Modus):")</f>
        <v>4.  Weighing / Linearity Test (Indicator in hi-res mode):</v>
      </c>
      <c r="B51" s="1"/>
      <c r="C51" s="6"/>
      <c r="D51" s="8"/>
      <c r="E51" s="8"/>
      <c r="F51" s="1"/>
      <c r="G51" s="1"/>
      <c r="H51" s="1" t="str">
        <f>IF($D$14="English","accordance to EN45501-2015, A.4.4.1","gemäß EN45501-2015, A.4.4.1")</f>
        <v>accordance to EN45501-2015, A.4.4.1</v>
      </c>
      <c r="I51" s="1"/>
      <c r="J51" s="1"/>
      <c r="K51" s="1"/>
      <c r="L51" s="1"/>
      <c r="M51" s="6"/>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row>
    <row r="52" spans="1:49" ht="12" customHeight="1">
      <c r="A52" s="234" t="str">
        <f>IF($D$14="English","load must be about","ungefähre Last")</f>
        <v>load must be about</v>
      </c>
      <c r="B52" s="223"/>
      <c r="C52" s="220"/>
      <c r="D52" s="231" t="s">
        <v>26</v>
      </c>
      <c r="E52" s="223"/>
      <c r="F52" s="220"/>
      <c r="G52" s="231" t="s">
        <v>27</v>
      </c>
      <c r="H52" s="220"/>
      <c r="I52" s="231" t="s">
        <v>28</v>
      </c>
      <c r="J52" s="220"/>
      <c r="K52" s="231" t="s">
        <v>29</v>
      </c>
      <c r="L52" s="220"/>
      <c r="M52" s="37" t="s">
        <v>91</v>
      </c>
      <c r="N52" s="91"/>
      <c r="O52" s="92"/>
      <c r="P52" s="231" t="s">
        <v>30</v>
      </c>
      <c r="Q52" s="220"/>
      <c r="R52" s="7" t="s">
        <v>53</v>
      </c>
      <c r="S52" s="1"/>
      <c r="T52" s="1"/>
      <c r="U52" s="1"/>
      <c r="V52" s="1"/>
      <c r="W52" s="1" t="s">
        <v>54</v>
      </c>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row>
    <row r="53" spans="1:49" ht="12" customHeight="1">
      <c r="A53" s="19" t="s">
        <v>32</v>
      </c>
      <c r="B53" s="239" t="s">
        <v>33</v>
      </c>
      <c r="C53" s="220"/>
      <c r="D53" s="19" t="s">
        <v>32</v>
      </c>
      <c r="E53" s="239" t="s">
        <v>33</v>
      </c>
      <c r="F53" s="220"/>
      <c r="G53" s="231" t="s">
        <v>33</v>
      </c>
      <c r="H53" s="220"/>
      <c r="I53" s="231" t="s">
        <v>33</v>
      </c>
      <c r="J53" s="223"/>
      <c r="K53" s="19" t="s">
        <v>33</v>
      </c>
      <c r="L53" s="21" t="s">
        <v>32</v>
      </c>
      <c r="M53" s="231" t="s">
        <v>33</v>
      </c>
      <c r="N53" s="223"/>
      <c r="O53" s="220"/>
      <c r="P53" s="231" t="s">
        <v>34</v>
      </c>
      <c r="Q53" s="220"/>
      <c r="R53" s="7" t="s">
        <v>55</v>
      </c>
      <c r="S53" s="1"/>
      <c r="T53" s="1"/>
      <c r="U53" s="1"/>
      <c r="V53" s="1"/>
      <c r="W53" s="1"/>
      <c r="X53" s="1"/>
      <c r="Y53" s="1"/>
      <c r="Z53" s="1"/>
      <c r="AA53" s="1"/>
      <c r="AB53" s="1"/>
      <c r="AC53" s="23" t="s">
        <v>2</v>
      </c>
      <c r="AD53" s="1"/>
      <c r="AE53" s="1"/>
      <c r="AF53" s="1"/>
      <c r="AG53" s="1"/>
      <c r="AH53" s="1"/>
      <c r="AI53" s="1"/>
      <c r="AJ53" s="1"/>
      <c r="AK53" s="1"/>
      <c r="AL53" s="1"/>
      <c r="AM53" s="1"/>
      <c r="AN53" s="1"/>
      <c r="AO53" s="1"/>
      <c r="AP53" s="1"/>
      <c r="AQ53" s="1"/>
      <c r="AR53" s="1"/>
      <c r="AS53" s="1"/>
      <c r="AT53" s="1"/>
      <c r="AU53" s="1"/>
      <c r="AV53" s="1"/>
      <c r="AW53" s="1"/>
    </row>
    <row r="54" spans="1:49" ht="12" customHeight="1">
      <c r="A54" s="38">
        <v>20</v>
      </c>
      <c r="B54" s="282">
        <f>A54*$D$11</f>
        <v>0</v>
      </c>
      <c r="C54" s="220"/>
      <c r="D54" s="38" t="str">
        <f t="shared" ref="D54:D56" si="15">IF(E54=0," ",E54/$D$11)</f>
        <v xml:space="preserve"> </v>
      </c>
      <c r="E54" s="284"/>
      <c r="F54" s="216"/>
      <c r="G54" s="285"/>
      <c r="H54" s="216"/>
      <c r="I54" s="268" t="str">
        <f t="shared" ref="I54:I59" si="16">IF(G54=0," ",(G54-E54))</f>
        <v xml:space="preserve"> </v>
      </c>
      <c r="J54" s="220"/>
      <c r="K54" s="98">
        <f t="shared" ref="K54:K55" si="17">L54*$D$11</f>
        <v>0</v>
      </c>
      <c r="L54" s="26">
        <f t="shared" ref="L54:L68" si="18">IF(D54="-"," ",IF(D54&lt;=500,0.5,(IF(D54&lt;=2000,1,IF(D54&gt;2000,1.5," ")))))</f>
        <v>1.5</v>
      </c>
      <c r="M54" s="270" t="str">
        <f t="shared" ref="M54:M56" si="19">IF(E54=0," ",IF($E$39=" "," ",I54-$E$39))</f>
        <v xml:space="preserve"> </v>
      </c>
      <c r="N54" s="223"/>
      <c r="O54" s="220"/>
      <c r="P54" s="222" t="str">
        <f t="shared" ref="P54:P68" si="20">IF(M54=" "," ",IF(ABS(M54)&lt;=K54,"Y","N"))</f>
        <v xml:space="preserve"> </v>
      </c>
      <c r="Q54" s="220"/>
      <c r="R54" s="1"/>
      <c r="S54" s="1"/>
      <c r="T54" s="1"/>
      <c r="U54" s="1"/>
      <c r="V54" s="1"/>
      <c r="W54" s="1" t="s">
        <v>56</v>
      </c>
      <c r="X54" s="1"/>
      <c r="Y54" s="1"/>
      <c r="Z54" s="1"/>
      <c r="AA54" s="1"/>
      <c r="AB54" s="39" t="e">
        <f t="shared" ref="AB54:AB61" si="21">IF(AND(E54&lt;=$D$9,ABS(M54)&lt;=0.5*$D$11),1,IF(AND(E54&gt;$D$9,ABS(M54)&lt;=0.5*$D$12),1,2))</f>
        <v>#VALUE!</v>
      </c>
      <c r="AC54" s="1"/>
      <c r="AD54" s="1"/>
      <c r="AE54" s="1"/>
      <c r="AF54" s="1"/>
      <c r="AG54" s="1"/>
      <c r="AH54" s="1"/>
      <c r="AI54" s="1"/>
      <c r="AJ54" s="1"/>
      <c r="AK54" s="1"/>
      <c r="AL54" s="1"/>
      <c r="AM54" s="1"/>
      <c r="AN54" s="1"/>
      <c r="AO54" s="1"/>
      <c r="AP54" s="1"/>
      <c r="AQ54" s="1"/>
      <c r="AR54" s="1"/>
      <c r="AS54" s="1"/>
      <c r="AT54" s="1"/>
      <c r="AU54" s="1"/>
      <c r="AV54" s="1"/>
      <c r="AW54" s="1"/>
    </row>
    <row r="55" spans="1:49" ht="12" customHeight="1">
      <c r="A55" s="24" t="str">
        <f>IF($D$11=0,"-",IF($D$9/$D$11&lt;=500,100,IF($D$9/$D$11&lt;=1000,100,IF($D$9/$D$11&lt;=2000,200,500))))</f>
        <v>-</v>
      </c>
      <c r="B55" s="282" t="str">
        <f t="shared" ref="B55:B57" si="22">IF($D$11=0," ",A55*$D$11)</f>
        <v xml:space="preserve"> </v>
      </c>
      <c r="C55" s="220"/>
      <c r="D55" s="38" t="str">
        <f t="shared" si="15"/>
        <v xml:space="preserve"> </v>
      </c>
      <c r="E55" s="284"/>
      <c r="F55" s="216"/>
      <c r="G55" s="285"/>
      <c r="H55" s="216"/>
      <c r="I55" s="268" t="str">
        <f t="shared" si="16"/>
        <v xml:space="preserve"> </v>
      </c>
      <c r="J55" s="220"/>
      <c r="K55" s="98">
        <f t="shared" si="17"/>
        <v>0</v>
      </c>
      <c r="L55" s="26">
        <f t="shared" si="18"/>
        <v>1.5</v>
      </c>
      <c r="M55" s="270" t="str">
        <f t="shared" si="19"/>
        <v xml:space="preserve"> </v>
      </c>
      <c r="N55" s="223"/>
      <c r="O55" s="220"/>
      <c r="P55" s="222" t="str">
        <f t="shared" si="20"/>
        <v xml:space="preserve"> </v>
      </c>
      <c r="Q55" s="220"/>
      <c r="R55" s="7" t="s">
        <v>57</v>
      </c>
      <c r="S55" s="31"/>
      <c r="T55" s="32"/>
      <c r="U55" s="1"/>
      <c r="V55" s="1"/>
      <c r="W55" s="1"/>
      <c r="X55" s="6"/>
      <c r="Y55" s="1"/>
      <c r="Z55" s="1"/>
      <c r="AA55" s="1"/>
      <c r="AB55" s="39" t="e">
        <f t="shared" si="21"/>
        <v>#VALUE!</v>
      </c>
      <c r="AC55" s="1" t="s">
        <v>0</v>
      </c>
      <c r="AD55" s="1"/>
      <c r="AE55" s="1"/>
      <c r="AF55" s="1"/>
      <c r="AG55" s="1"/>
      <c r="AH55" s="1"/>
      <c r="AI55" s="1"/>
      <c r="AJ55" s="1"/>
      <c r="AK55" s="1"/>
      <c r="AL55" s="1"/>
      <c r="AM55" s="1"/>
      <c r="AN55" s="1"/>
      <c r="AO55" s="1"/>
      <c r="AP55" s="1"/>
      <c r="AQ55" s="1"/>
      <c r="AR55" s="1"/>
      <c r="AS55" s="1"/>
      <c r="AT55" s="1"/>
      <c r="AU55" s="1"/>
      <c r="AV55" s="1"/>
      <c r="AW55" s="1"/>
    </row>
    <row r="56" spans="1:49" ht="12" customHeight="1">
      <c r="A56" s="24" t="str">
        <f>IF($D$11=0,"-",IF($D$9/$D$11&lt;=500,200,IF($D$9/$D$11&lt;=1000,200,IF($D$9/$D$11&lt;=2000,500,1000))))</f>
        <v>-</v>
      </c>
      <c r="B56" s="282" t="str">
        <f t="shared" si="22"/>
        <v xml:space="preserve"> </v>
      </c>
      <c r="C56" s="220"/>
      <c r="D56" s="38" t="str">
        <f t="shared" si="15"/>
        <v xml:space="preserve"> </v>
      </c>
      <c r="E56" s="284"/>
      <c r="F56" s="216"/>
      <c r="G56" s="285"/>
      <c r="H56" s="216"/>
      <c r="I56" s="268" t="str">
        <f t="shared" si="16"/>
        <v xml:space="preserve"> </v>
      </c>
      <c r="J56" s="220"/>
      <c r="K56" s="98">
        <f t="shared" ref="K56:K57" si="23">IF(D56="-",0,L56*$D$11)</f>
        <v>0</v>
      </c>
      <c r="L56" s="26">
        <f t="shared" si="18"/>
        <v>1.5</v>
      </c>
      <c r="M56" s="270" t="str">
        <f t="shared" si="19"/>
        <v xml:space="preserve"> </v>
      </c>
      <c r="N56" s="223"/>
      <c r="O56" s="220"/>
      <c r="P56" s="222" t="str">
        <f t="shared" si="20"/>
        <v xml:space="preserve"> </v>
      </c>
      <c r="Q56" s="220"/>
      <c r="R56" s="7" t="s">
        <v>58</v>
      </c>
      <c r="S56" s="31"/>
      <c r="T56" s="32"/>
      <c r="U56" s="1"/>
      <c r="V56" s="1"/>
      <c r="W56" s="1"/>
      <c r="X56" s="6"/>
      <c r="Y56" s="1"/>
      <c r="Z56" s="23"/>
      <c r="AA56" s="1"/>
      <c r="AB56" s="39" t="e">
        <f t="shared" si="21"/>
        <v>#VALUE!</v>
      </c>
      <c r="AC56" s="23" t="s">
        <v>2</v>
      </c>
      <c r="AD56" s="1"/>
      <c r="AE56" s="1"/>
      <c r="AF56" s="1"/>
      <c r="AG56" s="1"/>
      <c r="AH56" s="1"/>
      <c r="AI56" s="1"/>
      <c r="AJ56" s="1"/>
      <c r="AK56" s="1"/>
      <c r="AL56" s="1"/>
      <c r="AM56" s="1"/>
      <c r="AN56" s="1"/>
      <c r="AO56" s="1"/>
      <c r="AP56" s="1"/>
      <c r="AQ56" s="1"/>
      <c r="AR56" s="1"/>
      <c r="AS56" s="1"/>
      <c r="AT56" s="1"/>
      <c r="AU56" s="1"/>
      <c r="AV56" s="1"/>
      <c r="AW56" s="1"/>
    </row>
    <row r="57" spans="1:49" ht="12" customHeight="1">
      <c r="A57" s="24" t="str">
        <f>IF($D$11=0,"-",IF($D$9/$D$11&lt;=500,300,IF($D$9/$D$11&lt;=1000,500,IF($D$9/$D$11&lt;=2000,1000,2000))))</f>
        <v>-</v>
      </c>
      <c r="B57" s="282" t="str">
        <f t="shared" si="22"/>
        <v xml:space="preserve"> </v>
      </c>
      <c r="C57" s="220"/>
      <c r="D57" s="38" t="str">
        <f t="shared" ref="D57:D61" si="24">IF(E57=0," ",IF(E57&lt;$D$9,E57/$D$11,E57/$D$12))</f>
        <v xml:space="preserve"> </v>
      </c>
      <c r="E57" s="284"/>
      <c r="F57" s="216"/>
      <c r="G57" s="285"/>
      <c r="H57" s="216"/>
      <c r="I57" s="268" t="str">
        <f t="shared" si="16"/>
        <v xml:space="preserve"> </v>
      </c>
      <c r="J57" s="220"/>
      <c r="K57" s="98">
        <f t="shared" si="23"/>
        <v>0</v>
      </c>
      <c r="L57" s="26">
        <f t="shared" si="18"/>
        <v>1.5</v>
      </c>
      <c r="M57" s="270" t="str">
        <f t="shared" ref="M57:M63" si="25">IF(E57=0," ",IF($E$39=" "," ",ROUND(I57-$E$39,2)))</f>
        <v xml:space="preserve"> </v>
      </c>
      <c r="N57" s="223"/>
      <c r="O57" s="220"/>
      <c r="P57" s="222" t="str">
        <f t="shared" si="20"/>
        <v xml:space="preserve"> </v>
      </c>
      <c r="Q57" s="220"/>
      <c r="R57" s="1"/>
      <c r="S57" s="31"/>
      <c r="T57" s="32"/>
      <c r="U57" s="1"/>
      <c r="V57" s="1"/>
      <c r="W57" s="1" t="s">
        <v>59</v>
      </c>
      <c r="X57" s="6"/>
      <c r="Y57" s="1"/>
      <c r="Z57" s="1"/>
      <c r="AA57" s="1"/>
      <c r="AB57" s="39" t="e">
        <f t="shared" si="21"/>
        <v>#VALUE!</v>
      </c>
      <c r="AC57" s="1"/>
      <c r="AD57" s="1"/>
      <c r="AE57" s="1"/>
      <c r="AF57" s="1"/>
      <c r="AG57" s="1"/>
      <c r="AH57" s="1"/>
      <c r="AI57" s="1"/>
      <c r="AJ57" s="8"/>
      <c r="AK57" s="1"/>
      <c r="AL57" s="1"/>
      <c r="AM57" s="1"/>
      <c r="AN57" s="1"/>
      <c r="AO57" s="1"/>
      <c r="AP57" s="1"/>
      <c r="AQ57" s="1"/>
      <c r="AR57" s="1"/>
      <c r="AS57" s="1"/>
      <c r="AT57" s="1"/>
      <c r="AU57" s="1"/>
      <c r="AV57" s="1"/>
      <c r="AW57" s="1"/>
    </row>
    <row r="58" spans="1:49" ht="12" customHeight="1">
      <c r="A58" s="24">
        <f>IF($D$12=0,0,IF(B58&lt;$D$9,B58/$D$11,B58/$D$12))</f>
        <v>0</v>
      </c>
      <c r="B58" s="282" t="str">
        <f>IF($D$12=0," ",$D$9-$D$12)</f>
        <v xml:space="preserve"> </v>
      </c>
      <c r="C58" s="220"/>
      <c r="D58" s="38" t="str">
        <f t="shared" si="24"/>
        <v xml:space="preserve"> </v>
      </c>
      <c r="E58" s="284"/>
      <c r="F58" s="216"/>
      <c r="G58" s="285"/>
      <c r="H58" s="216"/>
      <c r="I58" s="268" t="str">
        <f t="shared" si="16"/>
        <v xml:space="preserve"> </v>
      </c>
      <c r="J58" s="220"/>
      <c r="K58" s="98">
        <f t="shared" ref="K58:K62" si="26">IF(D58="-",0,IF(E58&lt;$D$9,L58*$D$11,L58*$D$12))</f>
        <v>0</v>
      </c>
      <c r="L58" s="26">
        <f t="shared" si="18"/>
        <v>1.5</v>
      </c>
      <c r="M58" s="270" t="str">
        <f t="shared" si="25"/>
        <v xml:space="preserve"> </v>
      </c>
      <c r="N58" s="223"/>
      <c r="O58" s="220"/>
      <c r="P58" s="222" t="str">
        <f t="shared" si="20"/>
        <v xml:space="preserve"> </v>
      </c>
      <c r="Q58" s="220"/>
      <c r="R58" s="1"/>
      <c r="S58" s="1"/>
      <c r="T58" s="1"/>
      <c r="U58" s="1"/>
      <c r="V58" s="1"/>
      <c r="W58" s="1"/>
      <c r="X58" s="1"/>
      <c r="Y58" s="1"/>
      <c r="Z58" s="23"/>
      <c r="AA58" s="1"/>
      <c r="AB58" s="39" t="e">
        <f t="shared" si="21"/>
        <v>#VALUE!</v>
      </c>
      <c r="AC58" s="1"/>
      <c r="AD58" s="8"/>
      <c r="AE58" s="8"/>
      <c r="AF58" s="8"/>
      <c r="AG58" s="8"/>
      <c r="AH58" s="8"/>
      <c r="AI58" s="8"/>
      <c r="AJ58" s="1"/>
      <c r="AK58" s="1"/>
      <c r="AL58" s="1"/>
      <c r="AM58" s="1"/>
      <c r="AN58" s="1"/>
      <c r="AO58" s="1"/>
      <c r="AP58" s="1"/>
      <c r="AQ58" s="1"/>
      <c r="AR58" s="1"/>
      <c r="AS58" s="1"/>
      <c r="AT58" s="1"/>
      <c r="AU58" s="1"/>
      <c r="AV58" s="1"/>
      <c r="AW58" s="1"/>
    </row>
    <row r="59" spans="1:49" ht="12" customHeight="1">
      <c r="A59" s="170"/>
      <c r="B59" s="282" t="str">
        <f t="shared" ref="B59:B60" si="27">IF(A59=0," ",A59*$D$12)</f>
        <v xml:space="preserve"> </v>
      </c>
      <c r="C59" s="220"/>
      <c r="D59" s="38" t="str">
        <f t="shared" si="24"/>
        <v xml:space="preserve"> </v>
      </c>
      <c r="E59" s="284"/>
      <c r="F59" s="216"/>
      <c r="G59" s="285"/>
      <c r="H59" s="216"/>
      <c r="I59" s="268" t="str">
        <f t="shared" si="16"/>
        <v xml:space="preserve"> </v>
      </c>
      <c r="J59" s="220"/>
      <c r="K59" s="98">
        <f t="shared" si="26"/>
        <v>0</v>
      </c>
      <c r="L59" s="26">
        <f t="shared" si="18"/>
        <v>1.5</v>
      </c>
      <c r="M59" s="270" t="str">
        <f t="shared" si="25"/>
        <v xml:space="preserve"> </v>
      </c>
      <c r="N59" s="223"/>
      <c r="O59" s="220"/>
      <c r="P59" s="222" t="str">
        <f t="shared" si="20"/>
        <v xml:space="preserve"> </v>
      </c>
      <c r="Q59" s="220"/>
      <c r="R59" s="7" t="s">
        <v>60</v>
      </c>
      <c r="S59" s="28"/>
      <c r="T59" s="40"/>
      <c r="U59" s="41"/>
      <c r="V59" s="42"/>
      <c r="W59" s="1" t="s">
        <v>61</v>
      </c>
      <c r="X59" s="43"/>
      <c r="Y59" s="1"/>
      <c r="Z59" s="23"/>
      <c r="AA59" s="1"/>
      <c r="AB59" s="39" t="e">
        <f t="shared" si="21"/>
        <v>#VALUE!</v>
      </c>
      <c r="AC59" s="1" t="s">
        <v>0</v>
      </c>
      <c r="AD59" s="44"/>
      <c r="AE59" s="44"/>
      <c r="AF59" s="44"/>
      <c r="AG59" s="44"/>
      <c r="AH59" s="44"/>
      <c r="AI59" s="44"/>
      <c r="AJ59" s="1"/>
      <c r="AK59" s="1"/>
      <c r="AL59" s="1"/>
      <c r="AM59" s="1"/>
      <c r="AN59" s="1"/>
      <c r="AO59" s="1"/>
      <c r="AP59" s="1"/>
      <c r="AQ59" s="1"/>
      <c r="AR59" s="1"/>
      <c r="AS59" s="1"/>
      <c r="AT59" s="1"/>
      <c r="AU59" s="1"/>
      <c r="AV59" s="1"/>
      <c r="AW59" s="1"/>
    </row>
    <row r="60" spans="1:49" ht="12" customHeight="1">
      <c r="A60" s="170"/>
      <c r="B60" s="282" t="str">
        <f t="shared" si="27"/>
        <v xml:space="preserve"> </v>
      </c>
      <c r="C60" s="220"/>
      <c r="D60" s="38" t="str">
        <f t="shared" si="24"/>
        <v xml:space="preserve"> </v>
      </c>
      <c r="E60" s="284"/>
      <c r="F60" s="216"/>
      <c r="G60" s="285"/>
      <c r="H60" s="216"/>
      <c r="I60" s="268" t="str">
        <f>IF(G60=0," ",ROUND((G60-E60),4))</f>
        <v xml:space="preserve"> </v>
      </c>
      <c r="J60" s="220"/>
      <c r="K60" s="98">
        <f t="shared" si="26"/>
        <v>0</v>
      </c>
      <c r="L60" s="26">
        <f t="shared" si="18"/>
        <v>1.5</v>
      </c>
      <c r="M60" s="270" t="str">
        <f t="shared" si="25"/>
        <v xml:space="preserve"> </v>
      </c>
      <c r="N60" s="223"/>
      <c r="O60" s="220"/>
      <c r="P60" s="222" t="str">
        <f t="shared" si="20"/>
        <v xml:space="preserve"> </v>
      </c>
      <c r="Q60" s="220"/>
      <c r="R60" s="1" t="s">
        <v>62</v>
      </c>
      <c r="S60" s="1"/>
      <c r="T60" s="1"/>
      <c r="U60" s="1"/>
      <c r="V60" s="1"/>
      <c r="W60" s="1"/>
      <c r="X60" s="1"/>
      <c r="Y60" s="1"/>
      <c r="Z60" s="1"/>
      <c r="AA60" s="1"/>
      <c r="AB60" s="39" t="e">
        <f t="shared" si="21"/>
        <v>#VALUE!</v>
      </c>
      <c r="AC60" s="1"/>
      <c r="AD60" s="1"/>
      <c r="AE60" s="1"/>
      <c r="AF60" s="1"/>
      <c r="AG60" s="1"/>
      <c r="AH60" s="1"/>
      <c r="AI60" s="1"/>
      <c r="AJ60" s="1"/>
      <c r="AK60" s="1"/>
      <c r="AL60" s="1"/>
      <c r="AM60" s="1"/>
      <c r="AN60" s="1"/>
      <c r="AO60" s="1"/>
      <c r="AP60" s="1"/>
      <c r="AQ60" s="1"/>
      <c r="AR60" s="1"/>
      <c r="AS60" s="1"/>
      <c r="AT60" s="1"/>
      <c r="AU60" s="1"/>
      <c r="AV60" s="1"/>
      <c r="AW60" s="1"/>
    </row>
    <row r="61" spans="1:49" ht="12" customHeight="1">
      <c r="A61" s="24">
        <f>IF($D$12=0,0,IF($D$10/$D$12&lt;=A60,"-",$D$10/$D$12))</f>
        <v>0</v>
      </c>
      <c r="B61" s="282" t="str">
        <f>IF($D$12=0," ",A61*$D$12)</f>
        <v xml:space="preserve"> </v>
      </c>
      <c r="C61" s="220"/>
      <c r="D61" s="38" t="str">
        <f t="shared" si="24"/>
        <v xml:space="preserve"> </v>
      </c>
      <c r="E61" s="284"/>
      <c r="F61" s="216"/>
      <c r="G61" s="285"/>
      <c r="H61" s="216"/>
      <c r="I61" s="268" t="str">
        <f>IF(G61=0," ",(G61-E61))</f>
        <v xml:space="preserve"> </v>
      </c>
      <c r="J61" s="220"/>
      <c r="K61" s="98">
        <f t="shared" si="26"/>
        <v>0</v>
      </c>
      <c r="L61" s="26">
        <f t="shared" si="18"/>
        <v>1.5</v>
      </c>
      <c r="M61" s="270" t="str">
        <f t="shared" si="25"/>
        <v xml:space="preserve"> </v>
      </c>
      <c r="N61" s="223"/>
      <c r="O61" s="220"/>
      <c r="P61" s="222" t="str">
        <f t="shared" si="20"/>
        <v xml:space="preserve"> </v>
      </c>
      <c r="Q61" s="220"/>
      <c r="R61" s="7" t="s">
        <v>63</v>
      </c>
      <c r="S61" s="28"/>
      <c r="T61" s="40"/>
      <c r="U61" s="41"/>
      <c r="V61" s="42"/>
      <c r="W61" s="43"/>
      <c r="X61" s="43"/>
      <c r="Y61" s="1"/>
      <c r="Z61" s="1"/>
      <c r="AA61" s="1"/>
      <c r="AB61" s="39" t="e">
        <f t="shared" si="21"/>
        <v>#VALUE!</v>
      </c>
      <c r="AC61" s="23" t="s">
        <v>2</v>
      </c>
      <c r="AD61" s="1"/>
      <c r="AE61" s="1"/>
      <c r="AF61" s="1"/>
      <c r="AG61" s="1"/>
      <c r="AH61" s="1"/>
      <c r="AI61" s="1"/>
      <c r="AJ61" s="1"/>
      <c r="AK61" s="1"/>
      <c r="AL61" s="1"/>
      <c r="AM61" s="1"/>
      <c r="AN61" s="1"/>
      <c r="AO61" s="1"/>
      <c r="AP61" s="1"/>
      <c r="AQ61" s="1"/>
      <c r="AR61" s="1"/>
      <c r="AS61" s="1"/>
      <c r="AT61" s="1"/>
      <c r="AU61" s="1"/>
      <c r="AV61" s="1"/>
      <c r="AW61" s="1"/>
    </row>
    <row r="62" spans="1:49" ht="12" customHeight="1">
      <c r="A62" s="24">
        <f>A60</f>
        <v>0</v>
      </c>
      <c r="B62" s="283" t="str">
        <f t="shared" ref="B62:B63" si="28">IF($D$10=0," ",A62*$D$12)</f>
        <v xml:space="preserve"> </v>
      </c>
      <c r="C62" s="220"/>
      <c r="D62" s="38" t="str">
        <f t="shared" ref="D62:D68" si="29">IF(E62=0," ",E62/$D$12)</f>
        <v xml:space="preserve"> </v>
      </c>
      <c r="E62" s="259">
        <f>E60</f>
        <v>0</v>
      </c>
      <c r="F62" s="220"/>
      <c r="G62" s="271"/>
      <c r="H62" s="216"/>
      <c r="I62" s="268" t="str">
        <f>IF(G62=0," ",ROUND((G62-E62),4))</f>
        <v xml:space="preserve"> </v>
      </c>
      <c r="J62" s="220"/>
      <c r="K62" s="98">
        <f t="shared" si="26"/>
        <v>0</v>
      </c>
      <c r="L62" s="26">
        <f t="shared" si="18"/>
        <v>1.5</v>
      </c>
      <c r="M62" s="270" t="str">
        <f t="shared" si="25"/>
        <v xml:space="preserve"> </v>
      </c>
      <c r="N62" s="223"/>
      <c r="O62" s="220"/>
      <c r="P62" s="222" t="str">
        <f t="shared" si="20"/>
        <v xml:space="preserve"> </v>
      </c>
      <c r="Q62" s="220"/>
      <c r="R62" s="1" t="s">
        <v>64</v>
      </c>
      <c r="S62" s="1"/>
      <c r="T62" s="1"/>
      <c r="U62" s="1"/>
      <c r="V62" s="1"/>
      <c r="W62" s="1"/>
      <c r="X62" s="1" t="s">
        <v>65</v>
      </c>
      <c r="Y62" s="1"/>
      <c r="Z62" s="1"/>
      <c r="AA62" s="1"/>
      <c r="AB62" s="39" t="e">
        <f t="shared" ref="AB62:AB68" si="30">IF(ABS(M62)&lt;=0.5*$D$12,1,2)</f>
        <v>#VALUE!</v>
      </c>
      <c r="AC62" s="1"/>
      <c r="AD62" s="8"/>
      <c r="AE62" s="8"/>
      <c r="AF62" s="8"/>
      <c r="AG62" s="8"/>
      <c r="AH62" s="8"/>
      <c r="AI62" s="1"/>
      <c r="AJ62" s="1"/>
      <c r="AK62" s="1"/>
      <c r="AL62" s="1"/>
      <c r="AM62" s="1"/>
      <c r="AN62" s="1"/>
      <c r="AO62" s="1"/>
      <c r="AP62" s="1"/>
      <c r="AQ62" s="1"/>
      <c r="AR62" s="1"/>
      <c r="AS62" s="1"/>
      <c r="AT62" s="1"/>
      <c r="AU62" s="1"/>
      <c r="AV62" s="1"/>
      <c r="AW62" s="1"/>
    </row>
    <row r="63" spans="1:49" ht="12" customHeight="1">
      <c r="A63" s="24">
        <f>A59</f>
        <v>0</v>
      </c>
      <c r="B63" s="281" t="str">
        <f t="shared" si="28"/>
        <v xml:space="preserve"> </v>
      </c>
      <c r="C63" s="220"/>
      <c r="D63" s="38" t="str">
        <f t="shared" si="29"/>
        <v xml:space="preserve"> </v>
      </c>
      <c r="E63" s="259">
        <f>E59</f>
        <v>0</v>
      </c>
      <c r="F63" s="220"/>
      <c r="G63" s="271"/>
      <c r="H63" s="216"/>
      <c r="I63" s="268" t="str">
        <f t="shared" ref="I63:I66" si="31">IF(G63=0," ",(G63-E63))</f>
        <v xml:space="preserve"> </v>
      </c>
      <c r="J63" s="220"/>
      <c r="K63" s="98">
        <f t="shared" ref="K63:K68" si="32">IF(D63="-",0,L63*$D$12)</f>
        <v>0</v>
      </c>
      <c r="L63" s="26">
        <f t="shared" si="18"/>
        <v>1.5</v>
      </c>
      <c r="M63" s="270" t="str">
        <f t="shared" si="25"/>
        <v xml:space="preserve"> </v>
      </c>
      <c r="N63" s="223"/>
      <c r="O63" s="220"/>
      <c r="P63" s="222" t="str">
        <f t="shared" si="20"/>
        <v xml:space="preserve"> </v>
      </c>
      <c r="Q63" s="220"/>
      <c r="R63" s="1" t="s">
        <v>66</v>
      </c>
      <c r="S63" s="23"/>
      <c r="T63" s="23"/>
      <c r="U63" s="23"/>
      <c r="V63" s="23"/>
      <c r="W63" s="23"/>
      <c r="X63" s="23"/>
      <c r="Y63" s="23"/>
      <c r="Z63" s="23"/>
      <c r="AA63" s="1"/>
      <c r="AB63" s="39" t="e">
        <f t="shared" si="30"/>
        <v>#VALUE!</v>
      </c>
      <c r="AC63" s="1"/>
      <c r="AD63" s="44"/>
      <c r="AE63" s="44"/>
      <c r="AF63" s="44"/>
      <c r="AG63" s="44"/>
      <c r="AH63" s="44"/>
      <c r="AI63" s="1"/>
      <c r="AJ63" s="1"/>
      <c r="AK63" s="1"/>
      <c r="AL63" s="1"/>
      <c r="AM63" s="1"/>
      <c r="AN63" s="1"/>
      <c r="AO63" s="1"/>
      <c r="AP63" s="1"/>
      <c r="AQ63" s="1"/>
      <c r="AR63" s="1"/>
      <c r="AS63" s="1"/>
      <c r="AT63" s="1"/>
      <c r="AU63" s="1"/>
      <c r="AV63" s="1"/>
      <c r="AW63" s="1"/>
    </row>
    <row r="64" spans="1:49" ht="12" customHeight="1">
      <c r="A64" s="24" t="str">
        <f t="shared" ref="A64:A68" si="33">IF($D$11=0,"-",B64/$D$12)</f>
        <v>-</v>
      </c>
      <c r="B64" s="281" t="str">
        <f>IF($D$11=0," ",B58)</f>
        <v xml:space="preserve"> </v>
      </c>
      <c r="C64" s="220"/>
      <c r="D64" s="38" t="str">
        <f t="shared" si="29"/>
        <v xml:space="preserve"> </v>
      </c>
      <c r="E64" s="259">
        <f>E58</f>
        <v>0</v>
      </c>
      <c r="F64" s="220"/>
      <c r="G64" s="271"/>
      <c r="H64" s="216"/>
      <c r="I64" s="268" t="str">
        <f t="shared" si="31"/>
        <v xml:space="preserve"> </v>
      </c>
      <c r="J64" s="220"/>
      <c r="K64" s="98">
        <f t="shared" si="32"/>
        <v>0</v>
      </c>
      <c r="L64" s="26">
        <f t="shared" si="18"/>
        <v>1.5</v>
      </c>
      <c r="M64" s="270" t="str">
        <f t="shared" ref="M64:M65" si="34">IF(E64=0," ",IF($E$39=" "," ",I64-$E$39))</f>
        <v xml:space="preserve"> </v>
      </c>
      <c r="N64" s="223"/>
      <c r="O64" s="220"/>
      <c r="P64" s="222" t="str">
        <f t="shared" si="20"/>
        <v xml:space="preserve"> </v>
      </c>
      <c r="Q64" s="220"/>
      <c r="R64" s="45" t="s">
        <v>67</v>
      </c>
      <c r="S64" s="1"/>
      <c r="T64" s="1"/>
      <c r="U64" s="1"/>
      <c r="V64" s="1"/>
      <c r="W64" s="1"/>
      <c r="X64" s="1"/>
      <c r="Y64" s="1"/>
      <c r="Z64" s="1"/>
      <c r="AA64" s="1"/>
      <c r="AB64" s="39" t="e">
        <f t="shared" si="30"/>
        <v>#VALUE!</v>
      </c>
      <c r="AC64" s="1" t="s">
        <v>0</v>
      </c>
      <c r="AD64" s="1"/>
      <c r="AE64" s="1"/>
      <c r="AF64" s="1"/>
      <c r="AG64" s="1"/>
      <c r="AH64" s="1"/>
      <c r="AI64" s="1"/>
      <c r="AJ64" s="1"/>
      <c r="AK64" s="1"/>
      <c r="AL64" s="1"/>
      <c r="AM64" s="1"/>
      <c r="AN64" s="1"/>
      <c r="AO64" s="1"/>
      <c r="AP64" s="1"/>
      <c r="AQ64" s="1"/>
      <c r="AR64" s="1"/>
      <c r="AS64" s="1"/>
      <c r="AT64" s="1"/>
      <c r="AU64" s="1"/>
      <c r="AV64" s="1"/>
      <c r="AW64" s="1"/>
    </row>
    <row r="65" spans="1:49" ht="12" customHeight="1">
      <c r="A65" s="24" t="str">
        <f t="shared" si="33"/>
        <v>-</v>
      </c>
      <c r="B65" s="281" t="str">
        <f>IF($D$11=0," ",B57)</f>
        <v xml:space="preserve"> </v>
      </c>
      <c r="C65" s="220"/>
      <c r="D65" s="38" t="str">
        <f t="shared" si="29"/>
        <v xml:space="preserve"> </v>
      </c>
      <c r="E65" s="259">
        <f>E57</f>
        <v>0</v>
      </c>
      <c r="F65" s="220"/>
      <c r="G65" s="271"/>
      <c r="H65" s="216"/>
      <c r="I65" s="268" t="str">
        <f t="shared" si="31"/>
        <v xml:space="preserve"> </v>
      </c>
      <c r="J65" s="220"/>
      <c r="K65" s="98">
        <f t="shared" si="32"/>
        <v>0</v>
      </c>
      <c r="L65" s="26">
        <f t="shared" si="18"/>
        <v>1.5</v>
      </c>
      <c r="M65" s="270" t="str">
        <f t="shared" si="34"/>
        <v xml:space="preserve"> </v>
      </c>
      <c r="N65" s="223"/>
      <c r="O65" s="220"/>
      <c r="P65" s="222" t="str">
        <f t="shared" si="20"/>
        <v xml:space="preserve"> </v>
      </c>
      <c r="Q65" s="220"/>
      <c r="R65" s="45" t="s">
        <v>68</v>
      </c>
      <c r="S65" s="1"/>
      <c r="T65" s="1"/>
      <c r="U65" s="1"/>
      <c r="V65" s="1"/>
      <c r="W65" s="1"/>
      <c r="X65" s="1"/>
      <c r="Y65" s="1"/>
      <c r="Z65" s="1"/>
      <c r="AA65" s="1"/>
      <c r="AB65" s="39" t="e">
        <f t="shared" si="30"/>
        <v>#VALUE!</v>
      </c>
      <c r="AC65" s="1"/>
      <c r="AD65" s="1"/>
      <c r="AE65" s="1"/>
      <c r="AF65" s="1"/>
      <c r="AG65" s="1"/>
      <c r="AH65" s="1"/>
      <c r="AI65" s="1"/>
      <c r="AJ65" s="1"/>
      <c r="AK65" s="1"/>
      <c r="AL65" s="1"/>
      <c r="AM65" s="1"/>
      <c r="AN65" s="1"/>
      <c r="AO65" s="1"/>
      <c r="AP65" s="1"/>
      <c r="AQ65" s="1"/>
      <c r="AR65" s="1"/>
      <c r="AS65" s="1"/>
      <c r="AT65" s="1"/>
      <c r="AU65" s="1"/>
      <c r="AV65" s="1"/>
      <c r="AW65" s="1"/>
    </row>
    <row r="66" spans="1:49" ht="12" customHeight="1">
      <c r="A66" s="24" t="str">
        <f t="shared" si="33"/>
        <v>-</v>
      </c>
      <c r="B66" s="281" t="str">
        <f>IF($D$11=0," ",B56)</f>
        <v xml:space="preserve"> </v>
      </c>
      <c r="C66" s="220"/>
      <c r="D66" s="38" t="str">
        <f t="shared" si="29"/>
        <v xml:space="preserve"> </v>
      </c>
      <c r="E66" s="259">
        <f>E56</f>
        <v>0</v>
      </c>
      <c r="F66" s="220"/>
      <c r="G66" s="271"/>
      <c r="H66" s="216"/>
      <c r="I66" s="268" t="str">
        <f t="shared" si="31"/>
        <v xml:space="preserve"> </v>
      </c>
      <c r="J66" s="220"/>
      <c r="K66" s="98">
        <f t="shared" si="32"/>
        <v>0</v>
      </c>
      <c r="L66" s="26">
        <f t="shared" si="18"/>
        <v>1.5</v>
      </c>
      <c r="M66" s="270" t="str">
        <f t="shared" ref="M66:M68" si="35">IF(E66=0," ",IF($E$39=" "," ",ROUND(I66-$E$39,2)))</f>
        <v xml:space="preserve"> </v>
      </c>
      <c r="N66" s="223"/>
      <c r="O66" s="220"/>
      <c r="P66" s="222" t="str">
        <f t="shared" si="20"/>
        <v xml:space="preserve"> </v>
      </c>
      <c r="Q66" s="220"/>
      <c r="R66" s="45" t="s">
        <v>69</v>
      </c>
      <c r="S66" s="1"/>
      <c r="T66" s="1"/>
      <c r="U66" s="1"/>
      <c r="V66" s="1"/>
      <c r="W66" s="1"/>
      <c r="X66" s="1"/>
      <c r="Y66" s="1"/>
      <c r="Z66" s="1"/>
      <c r="AA66" s="1"/>
      <c r="AB66" s="39" t="e">
        <f t="shared" si="30"/>
        <v>#VALUE!</v>
      </c>
      <c r="AC66" s="1"/>
      <c r="AD66" s="1"/>
      <c r="AE66" s="1"/>
      <c r="AF66" s="1"/>
      <c r="AG66" s="1"/>
      <c r="AH66" s="1"/>
      <c r="AI66" s="1"/>
      <c r="AJ66" s="1"/>
      <c r="AK66" s="1"/>
      <c r="AL66" s="1"/>
      <c r="AM66" s="1"/>
      <c r="AN66" s="1"/>
      <c r="AO66" s="1"/>
      <c r="AP66" s="1"/>
      <c r="AQ66" s="1"/>
      <c r="AR66" s="1"/>
      <c r="AS66" s="1"/>
      <c r="AT66" s="1"/>
      <c r="AU66" s="1"/>
      <c r="AV66" s="1"/>
      <c r="AW66" s="1"/>
    </row>
    <row r="67" spans="1:49" ht="12" customHeight="1">
      <c r="A67" s="24" t="str">
        <f t="shared" si="33"/>
        <v>-</v>
      </c>
      <c r="B67" s="281" t="str">
        <f>IF($D$11=0," ",B55)</f>
        <v xml:space="preserve"> </v>
      </c>
      <c r="C67" s="220"/>
      <c r="D67" s="38" t="str">
        <f t="shared" si="29"/>
        <v xml:space="preserve"> </v>
      </c>
      <c r="E67" s="259">
        <f>E55</f>
        <v>0</v>
      </c>
      <c r="F67" s="220"/>
      <c r="G67" s="271"/>
      <c r="H67" s="216"/>
      <c r="I67" s="268" t="str">
        <f>IF(G67=0," ",ROUND((G67-E67),4))</f>
        <v xml:space="preserve"> </v>
      </c>
      <c r="J67" s="220"/>
      <c r="K67" s="98">
        <f t="shared" si="32"/>
        <v>0</v>
      </c>
      <c r="L67" s="26">
        <f t="shared" si="18"/>
        <v>1.5</v>
      </c>
      <c r="M67" s="270" t="str">
        <f t="shared" si="35"/>
        <v xml:space="preserve"> </v>
      </c>
      <c r="N67" s="223"/>
      <c r="O67" s="220"/>
      <c r="P67" s="222" t="str">
        <f t="shared" si="20"/>
        <v xml:space="preserve"> </v>
      </c>
      <c r="Q67" s="220"/>
      <c r="R67" s="45" t="s">
        <v>70</v>
      </c>
      <c r="S67" s="46"/>
      <c r="T67" s="1"/>
      <c r="U67" s="1"/>
      <c r="V67" s="1"/>
      <c r="W67" s="1"/>
      <c r="X67" s="1"/>
      <c r="Y67" s="1"/>
      <c r="Z67" s="1"/>
      <c r="AA67" s="1"/>
      <c r="AB67" s="39" t="e">
        <f t="shared" si="30"/>
        <v>#VALUE!</v>
      </c>
      <c r="AC67" s="23" t="s">
        <v>2</v>
      </c>
      <c r="AD67" s="1"/>
      <c r="AE67" s="1"/>
      <c r="AF67" s="1"/>
      <c r="AG67" s="1"/>
      <c r="AH67" s="1"/>
      <c r="AI67" s="1"/>
      <c r="AJ67" s="1"/>
      <c r="AK67" s="1"/>
      <c r="AL67" s="1"/>
      <c r="AM67" s="1"/>
      <c r="AN67" s="1"/>
      <c r="AO67" s="1"/>
      <c r="AP67" s="1"/>
      <c r="AQ67" s="1"/>
      <c r="AR67" s="1"/>
      <c r="AS67" s="1"/>
      <c r="AT67" s="1"/>
      <c r="AU67" s="1"/>
      <c r="AV67" s="1"/>
      <c r="AW67" s="1"/>
    </row>
    <row r="68" spans="1:49" ht="12" customHeight="1">
      <c r="A68" s="24" t="str">
        <f t="shared" si="33"/>
        <v>-</v>
      </c>
      <c r="B68" s="281" t="str">
        <f>IF($D$11=0," ",B54)</f>
        <v xml:space="preserve"> </v>
      </c>
      <c r="C68" s="220"/>
      <c r="D68" s="38" t="str">
        <f t="shared" si="29"/>
        <v xml:space="preserve"> </v>
      </c>
      <c r="E68" s="259">
        <f>E54</f>
        <v>0</v>
      </c>
      <c r="F68" s="220"/>
      <c r="G68" s="271"/>
      <c r="H68" s="216"/>
      <c r="I68" s="268" t="str">
        <f>IF(G68=0," ",(G68-E68))</f>
        <v xml:space="preserve"> </v>
      </c>
      <c r="J68" s="220"/>
      <c r="K68" s="98">
        <f t="shared" si="32"/>
        <v>0</v>
      </c>
      <c r="L68" s="26">
        <f t="shared" si="18"/>
        <v>1.5</v>
      </c>
      <c r="M68" s="270" t="str">
        <f t="shared" si="35"/>
        <v xml:space="preserve"> </v>
      </c>
      <c r="N68" s="223"/>
      <c r="O68" s="220"/>
      <c r="P68" s="222" t="str">
        <f t="shared" si="20"/>
        <v xml:space="preserve"> </v>
      </c>
      <c r="Q68" s="220"/>
      <c r="R68" s="45" t="s">
        <v>71</v>
      </c>
      <c r="S68" s="46"/>
      <c r="T68" s="1"/>
      <c r="U68" s="1"/>
      <c r="V68" s="1"/>
      <c r="W68" s="1"/>
      <c r="X68" s="1"/>
      <c r="Y68" s="1"/>
      <c r="Z68" s="1"/>
      <c r="AA68" s="1"/>
      <c r="AB68" s="39" t="e">
        <f t="shared" si="30"/>
        <v>#VALUE!</v>
      </c>
      <c r="AC68" s="1"/>
      <c r="AD68" s="1"/>
      <c r="AE68" s="1"/>
      <c r="AF68" s="1"/>
      <c r="AG68" s="1"/>
      <c r="AH68" s="1"/>
      <c r="AI68" s="1"/>
      <c r="AJ68" s="1"/>
      <c r="AK68" s="1"/>
      <c r="AL68" s="1"/>
      <c r="AM68" s="1"/>
      <c r="AN68" s="1"/>
      <c r="AO68" s="1"/>
      <c r="AP68" s="1"/>
      <c r="AQ68" s="1"/>
      <c r="AR68" s="1"/>
      <c r="AS68" s="1"/>
      <c r="AT68" s="1"/>
      <c r="AU68" s="1"/>
      <c r="AV68" s="1"/>
      <c r="AW68" s="1"/>
    </row>
    <row r="69" spans="1:49" ht="12" customHeight="1">
      <c r="A69" s="1"/>
      <c r="B69" s="1"/>
      <c r="C69" s="1"/>
      <c r="D69" s="1"/>
      <c r="E69" s="1"/>
      <c r="F69" s="1"/>
      <c r="G69" s="1"/>
      <c r="H69" s="1"/>
      <c r="I69" s="1"/>
      <c r="J69" s="1"/>
      <c r="K69" s="1"/>
      <c r="L69" s="3" t="str">
        <f>IF($D$14="English","Test passed?","Test bestanden?")</f>
        <v>Test passed?</v>
      </c>
      <c r="M69" s="93"/>
      <c r="N69" s="93"/>
      <c r="O69" s="94"/>
      <c r="P69" s="222" t="str">
        <f>IF(AND(P54="Y",P55= "Y", P56="Y",P57="Y",P65="Y",P66="Y",P67="Y",P68="Y",P58="Y",P59="Y",P60="Y",P61="Y",P62="Y",P63="Y",P64="Y"),"Y","N")</f>
        <v>N</v>
      </c>
      <c r="Q69" s="220"/>
      <c r="R69" s="45"/>
      <c r="S69" s="46"/>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row>
    <row r="70" spans="1:49" ht="12" customHeight="1">
      <c r="A70" s="28"/>
      <c r="B70" s="31"/>
      <c r="C70" s="32"/>
      <c r="D70" s="1"/>
      <c r="E70" s="1"/>
      <c r="F70" s="1"/>
      <c r="G70" s="1"/>
      <c r="H70" s="1"/>
      <c r="I70" s="1"/>
      <c r="J70" s="1"/>
      <c r="K70" s="1"/>
      <c r="L70" s="1"/>
      <c r="M70" s="1"/>
      <c r="N70" s="1"/>
      <c r="O70" s="1"/>
      <c r="P70" s="1"/>
      <c r="Q70" s="1"/>
      <c r="R70" s="1"/>
      <c r="S70" s="45"/>
      <c r="T70" s="46"/>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row>
    <row r="71" spans="1:49" ht="12" customHeight="1">
      <c r="A71" s="257" t="str">
        <f>IF($D$14="English","If the maximum calculated error in Weighing Test is less or equal to 0,5e, no additional Tare Test has to be performed. ","Wenn der kalkulierte maximale Fehler im Linearitätstest kleiner oder gleich 0,5e ist, muss kein zusätzlich Tara Test durchgeführt werden. ")</f>
        <v xml:space="preserve">If the maximum calculated error in Weighing Test is less or equal to 0,5e, no additional Tare Test has to be performed. </v>
      </c>
      <c r="B71" s="237"/>
      <c r="C71" s="237"/>
      <c r="D71" s="237"/>
      <c r="E71" s="237"/>
      <c r="F71" s="237"/>
      <c r="G71" s="237"/>
      <c r="H71" s="237"/>
      <c r="I71" s="237"/>
      <c r="J71" s="237"/>
      <c r="K71" s="237"/>
      <c r="L71" s="237"/>
      <c r="M71" s="237"/>
      <c r="N71" s="237"/>
      <c r="O71" s="237"/>
      <c r="P71" s="237"/>
      <c r="Q71" s="237"/>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row>
    <row r="72" spans="1:49" ht="12" customHeight="1">
      <c r="A72" s="48" t="str">
        <f>IF($D$14="English","Does Test 5 have to be performed? ","Muss Test 5 durchgeführt werden? ")</f>
        <v xml:space="preserve">Does Test 5 have to be performed? </v>
      </c>
      <c r="B72" s="39"/>
      <c r="C72" s="39"/>
      <c r="D72" s="39"/>
      <c r="E72" s="39"/>
      <c r="F72" s="27" t="e">
        <f>IF(AND(AB54=1,AB55=1,AB56=1,AB57=1,AB58=1,AB59=1,AB60=1,AB61=1,AB62=1,AB63=1,AB64=1,AB65=1,AB66=1,AB67=1,AB68=1),"N","Y")</f>
        <v>#VALUE!</v>
      </c>
      <c r="G72" s="39"/>
      <c r="H72" s="49"/>
      <c r="I72" s="39"/>
      <c r="J72" s="39"/>
      <c r="K72" s="39"/>
      <c r="L72" s="39"/>
      <c r="M72" s="39"/>
      <c r="N72" s="39"/>
      <c r="O72" s="39"/>
      <c r="P72" s="39"/>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row>
    <row r="73" spans="1:49" ht="12" customHeight="1">
      <c r="A73" s="39"/>
      <c r="B73" s="39"/>
      <c r="C73" s="39"/>
      <c r="D73" s="39"/>
      <c r="E73" s="39"/>
      <c r="F73" s="39"/>
      <c r="G73" s="39"/>
      <c r="H73" s="39"/>
      <c r="I73" s="39"/>
      <c r="J73" s="39"/>
      <c r="K73" s="39"/>
      <c r="L73" s="39"/>
      <c r="M73" s="39"/>
      <c r="N73" s="39"/>
      <c r="O73" s="39"/>
      <c r="P73" s="39"/>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row>
    <row r="74" spans="1:49" ht="12" customHeight="1">
      <c r="A74" s="7" t="str">
        <f>IF($D$14="English","5.  Tare (Weighing Test) - Indicator in hi-res mode:","5. Tara (Richtigkeitsprüfung) - Indikator in Hi-Res-Modus:")</f>
        <v>5.  Tare (Weighing Test) - Indicator in hi-res mode:</v>
      </c>
      <c r="B74" s="50"/>
      <c r="C74" s="50"/>
      <c r="D74" s="50"/>
      <c r="E74" s="50"/>
      <c r="F74" s="50"/>
      <c r="G74" s="50"/>
      <c r="H74" s="1" t="str">
        <f>IF($D$14="English","accordance to EN45501-2015, A.4.6.1","gemäß EN45501-2015, A.4.6.1")</f>
        <v>accordance to EN45501-2015, A.4.6.1</v>
      </c>
      <c r="I74" s="50"/>
      <c r="J74" s="50"/>
      <c r="K74" s="50"/>
      <c r="L74" s="50"/>
      <c r="M74" s="50"/>
      <c r="N74" s="50"/>
      <c r="O74" s="50"/>
      <c r="P74" s="50"/>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row>
    <row r="75" spans="1:49" ht="12" customHeight="1">
      <c r="A75" s="258" t="str">
        <f>IF($D$14="English","Tare a load between 1/3 Max and 2/3 Max and test up to Max.at 5 load points. Please test at the loads where mpe changes.","Last zwischen 1/3 und 2/3 Max tarieren und bis zur Maximallast bei 5 Lastpunkten prüfen. Bei den Lasten, bei denen sich mpe ändert, muss geprüft werden. ")</f>
        <v>Tare a load between 1/3 Max and 2/3 Max and test up to Max.at 5 load points. Please test at the loads where mpe changes.</v>
      </c>
      <c r="B75" s="237"/>
      <c r="C75" s="237"/>
      <c r="D75" s="237"/>
      <c r="E75" s="237"/>
      <c r="F75" s="237"/>
      <c r="G75" s="237"/>
      <c r="H75" s="237"/>
      <c r="I75" s="237"/>
      <c r="J75" s="237"/>
      <c r="K75" s="237"/>
      <c r="L75" s="237"/>
      <c r="M75" s="237"/>
      <c r="N75" s="237"/>
      <c r="O75" s="237"/>
      <c r="P75" s="237"/>
      <c r="Q75" s="237"/>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row>
    <row r="76" spans="1:49" ht="12" customHeight="1">
      <c r="A76" s="237"/>
      <c r="B76" s="237"/>
      <c r="C76" s="237"/>
      <c r="D76" s="237"/>
      <c r="E76" s="237"/>
      <c r="F76" s="237"/>
      <c r="G76" s="237"/>
      <c r="H76" s="237"/>
      <c r="I76" s="237"/>
      <c r="J76" s="237"/>
      <c r="K76" s="237"/>
      <c r="L76" s="237"/>
      <c r="M76" s="237"/>
      <c r="N76" s="237"/>
      <c r="O76" s="237"/>
      <c r="P76" s="237"/>
      <c r="Q76" s="237"/>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row>
    <row r="77" spans="1:49" ht="12" customHeight="1">
      <c r="A77" s="7" t="str">
        <f>IF($D$14="English","Tared load:","Tarierte Last:")</f>
        <v>Tared load:</v>
      </c>
      <c r="B77" s="31"/>
      <c r="C77" s="279"/>
      <c r="D77" s="216"/>
      <c r="E77" s="1" t="s">
        <v>33</v>
      </c>
      <c r="F77" s="1"/>
      <c r="G77" s="6"/>
      <c r="H77" s="1"/>
      <c r="J77" s="17"/>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row>
    <row r="78" spans="1:49" ht="12" customHeight="1">
      <c r="A78" s="231" t="s">
        <v>26</v>
      </c>
      <c r="B78" s="223"/>
      <c r="C78" s="220"/>
      <c r="D78" s="19" t="s">
        <v>72</v>
      </c>
      <c r="E78" s="231" t="s">
        <v>27</v>
      </c>
      <c r="F78" s="220"/>
      <c r="G78" s="231" t="s">
        <v>73</v>
      </c>
      <c r="H78" s="220"/>
      <c r="I78" s="231" t="s">
        <v>29</v>
      </c>
      <c r="J78" s="223"/>
      <c r="K78" s="220"/>
      <c r="L78" s="232" t="s">
        <v>92</v>
      </c>
      <c r="M78" s="223"/>
      <c r="N78" s="220"/>
      <c r="O78" s="18" t="s">
        <v>30</v>
      </c>
      <c r="P78" s="95"/>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row>
    <row r="79" spans="1:49" ht="12" customHeight="1">
      <c r="A79" s="259" t="s">
        <v>33</v>
      </c>
      <c r="B79" s="223"/>
      <c r="C79" s="220"/>
      <c r="D79" s="51"/>
      <c r="E79" s="231" t="s">
        <v>33</v>
      </c>
      <c r="F79" s="220"/>
      <c r="G79" s="256" t="s">
        <v>33</v>
      </c>
      <c r="H79" s="220"/>
      <c r="I79" s="256" t="s">
        <v>33</v>
      </c>
      <c r="J79" s="220"/>
      <c r="K79" s="52" t="s">
        <v>32</v>
      </c>
      <c r="L79" s="231" t="s">
        <v>33</v>
      </c>
      <c r="M79" s="223"/>
      <c r="N79" s="220"/>
      <c r="O79" s="18" t="s">
        <v>34</v>
      </c>
      <c r="P79" s="95"/>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row>
    <row r="80" spans="1:49" ht="12" customHeight="1">
      <c r="A80" s="291"/>
      <c r="B80" s="215"/>
      <c r="C80" s="216"/>
      <c r="D80" s="51" t="str">
        <f t="shared" ref="D80:D88" si="36">IF($D$10=0," ",IF(A80&lt;=$D$9,A80/$D$11,A80/$D$12))</f>
        <v xml:space="preserve"> </v>
      </c>
      <c r="E80" s="279"/>
      <c r="F80" s="216"/>
      <c r="G80" s="289" t="str">
        <f t="shared" ref="G80:G88" si="37">IF($A80=0," ",IF($D$10=0," ",E80-A80))</f>
        <v xml:space="preserve"> </v>
      </c>
      <c r="H80" s="220"/>
      <c r="I80" s="268" t="str">
        <f t="shared" ref="I80:I84" si="38">IF($D$10=0," ",IF(A80&lt;=$D$9,K80*$D$11,K80*$D$12))</f>
        <v xml:space="preserve"> </v>
      </c>
      <c r="J80" s="220"/>
      <c r="K80" s="26">
        <f t="shared" ref="K80:K88" si="39">IF(D80=0,0,IF(D80&lt;=500,0.5,(IF(D80&lt;=2000,1,IF(D80&gt;2000,1.5," ")))))</f>
        <v>1.5</v>
      </c>
      <c r="L80" s="270" t="str">
        <f t="shared" ref="L80:L88" si="40">IF(E80=0," ",IF($E$46=" "," ",ROUND(G80-$E$46,4)))</f>
        <v xml:space="preserve"> </v>
      </c>
      <c r="M80" s="223"/>
      <c r="N80" s="220"/>
      <c r="O80" s="222" t="str">
        <f t="shared" ref="O80:O88" si="41">IF(L80=" "," ",IF(ABS(L80)&lt;=I80,"Y","N"))</f>
        <v xml:space="preserve"> </v>
      </c>
      <c r="P80" s="220"/>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row>
    <row r="81" spans="1:49" ht="12" customHeight="1">
      <c r="A81" s="291"/>
      <c r="B81" s="215"/>
      <c r="C81" s="216"/>
      <c r="D81" s="51" t="str">
        <f t="shared" si="36"/>
        <v xml:space="preserve"> </v>
      </c>
      <c r="E81" s="279"/>
      <c r="F81" s="216"/>
      <c r="G81" s="289" t="str">
        <f t="shared" si="37"/>
        <v xml:space="preserve"> </v>
      </c>
      <c r="H81" s="220"/>
      <c r="I81" s="268" t="str">
        <f t="shared" si="38"/>
        <v xml:space="preserve"> </v>
      </c>
      <c r="J81" s="220"/>
      <c r="K81" s="26">
        <f t="shared" si="39"/>
        <v>1.5</v>
      </c>
      <c r="L81" s="270" t="str">
        <f t="shared" si="40"/>
        <v xml:space="preserve"> </v>
      </c>
      <c r="M81" s="223"/>
      <c r="N81" s="220"/>
      <c r="O81" s="222" t="str">
        <f t="shared" si="41"/>
        <v xml:space="preserve"> </v>
      </c>
      <c r="P81" s="220"/>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row>
    <row r="82" spans="1:49" ht="12" customHeight="1">
      <c r="A82" s="291"/>
      <c r="B82" s="215"/>
      <c r="C82" s="216"/>
      <c r="D82" s="51" t="str">
        <f t="shared" si="36"/>
        <v xml:space="preserve"> </v>
      </c>
      <c r="E82" s="279"/>
      <c r="F82" s="216"/>
      <c r="G82" s="289" t="str">
        <f t="shared" si="37"/>
        <v xml:space="preserve"> </v>
      </c>
      <c r="H82" s="220"/>
      <c r="I82" s="268" t="str">
        <f t="shared" si="38"/>
        <v xml:space="preserve"> </v>
      </c>
      <c r="J82" s="220"/>
      <c r="K82" s="26">
        <f t="shared" si="39"/>
        <v>1.5</v>
      </c>
      <c r="L82" s="270" t="str">
        <f t="shared" si="40"/>
        <v xml:space="preserve"> </v>
      </c>
      <c r="M82" s="223"/>
      <c r="N82" s="220"/>
      <c r="O82" s="222" t="str">
        <f t="shared" si="41"/>
        <v xml:space="preserve"> </v>
      </c>
      <c r="P82" s="220"/>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row>
    <row r="83" spans="1:49" ht="12" customHeight="1">
      <c r="A83" s="291"/>
      <c r="B83" s="215"/>
      <c r="C83" s="216"/>
      <c r="D83" s="51" t="str">
        <f t="shared" si="36"/>
        <v xml:space="preserve"> </v>
      </c>
      <c r="E83" s="279"/>
      <c r="F83" s="216"/>
      <c r="G83" s="289" t="str">
        <f t="shared" si="37"/>
        <v xml:space="preserve"> </v>
      </c>
      <c r="H83" s="220"/>
      <c r="I83" s="268" t="str">
        <f t="shared" si="38"/>
        <v xml:space="preserve"> </v>
      </c>
      <c r="J83" s="220"/>
      <c r="K83" s="26">
        <f t="shared" si="39"/>
        <v>1.5</v>
      </c>
      <c r="L83" s="270" t="str">
        <f t="shared" si="40"/>
        <v xml:space="preserve"> </v>
      </c>
      <c r="M83" s="223"/>
      <c r="N83" s="220"/>
      <c r="O83" s="222" t="str">
        <f t="shared" si="41"/>
        <v xml:space="preserve"> </v>
      </c>
      <c r="P83" s="220"/>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row>
    <row r="84" spans="1:49" ht="12" customHeight="1">
      <c r="A84" s="291"/>
      <c r="B84" s="215"/>
      <c r="C84" s="216"/>
      <c r="D84" s="51" t="str">
        <f t="shared" si="36"/>
        <v xml:space="preserve"> </v>
      </c>
      <c r="E84" s="279"/>
      <c r="F84" s="216"/>
      <c r="G84" s="289" t="str">
        <f t="shared" si="37"/>
        <v xml:space="preserve"> </v>
      </c>
      <c r="H84" s="220"/>
      <c r="I84" s="268" t="str">
        <f t="shared" si="38"/>
        <v xml:space="preserve"> </v>
      </c>
      <c r="J84" s="220"/>
      <c r="K84" s="26">
        <f t="shared" si="39"/>
        <v>1.5</v>
      </c>
      <c r="L84" s="270" t="str">
        <f t="shared" si="40"/>
        <v xml:space="preserve"> </v>
      </c>
      <c r="M84" s="223"/>
      <c r="N84" s="220"/>
      <c r="O84" s="222" t="str">
        <f t="shared" si="41"/>
        <v xml:space="preserve"> </v>
      </c>
      <c r="P84" s="220"/>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row>
    <row r="85" spans="1:49" ht="12" customHeight="1">
      <c r="A85" s="290">
        <f>A83</f>
        <v>0</v>
      </c>
      <c r="B85" s="223"/>
      <c r="C85" s="220"/>
      <c r="D85" s="51" t="str">
        <f t="shared" si="36"/>
        <v xml:space="preserve"> </v>
      </c>
      <c r="E85" s="279"/>
      <c r="F85" s="216"/>
      <c r="G85" s="289" t="str">
        <f t="shared" si="37"/>
        <v xml:space="preserve"> </v>
      </c>
      <c r="H85" s="220"/>
      <c r="I85" s="268" t="str">
        <f t="shared" ref="I85:I88" si="42">IF($D$10=0," ",IF($A$84&lt;=$D$9,K85*$D$11,K85*$D$12))</f>
        <v xml:space="preserve"> </v>
      </c>
      <c r="J85" s="220"/>
      <c r="K85" s="26">
        <f t="shared" si="39"/>
        <v>1.5</v>
      </c>
      <c r="L85" s="270" t="str">
        <f t="shared" si="40"/>
        <v xml:space="preserve"> </v>
      </c>
      <c r="M85" s="223"/>
      <c r="N85" s="220"/>
      <c r="O85" s="222" t="str">
        <f t="shared" si="41"/>
        <v xml:space="preserve"> </v>
      </c>
      <c r="P85" s="220"/>
      <c r="Q85" s="17"/>
      <c r="R85" s="17"/>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row>
    <row r="86" spans="1:49" ht="12" customHeight="1">
      <c r="A86" s="290">
        <f>A82</f>
        <v>0</v>
      </c>
      <c r="B86" s="223"/>
      <c r="C86" s="220"/>
      <c r="D86" s="51" t="str">
        <f t="shared" si="36"/>
        <v xml:space="preserve"> </v>
      </c>
      <c r="E86" s="279"/>
      <c r="F86" s="216"/>
      <c r="G86" s="289" t="str">
        <f t="shared" si="37"/>
        <v xml:space="preserve"> </v>
      </c>
      <c r="H86" s="220"/>
      <c r="I86" s="268" t="str">
        <f t="shared" si="42"/>
        <v xml:space="preserve"> </v>
      </c>
      <c r="J86" s="220"/>
      <c r="K86" s="26">
        <f t="shared" si="39"/>
        <v>1.5</v>
      </c>
      <c r="L86" s="270" t="str">
        <f t="shared" si="40"/>
        <v xml:space="preserve"> </v>
      </c>
      <c r="M86" s="223"/>
      <c r="N86" s="220"/>
      <c r="O86" s="222" t="str">
        <f t="shared" si="41"/>
        <v xml:space="preserve"> </v>
      </c>
      <c r="P86" s="220"/>
      <c r="Q86" s="17"/>
      <c r="R86" s="17"/>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row>
    <row r="87" spans="1:49" ht="12" customHeight="1">
      <c r="A87" s="290">
        <f>A81</f>
        <v>0</v>
      </c>
      <c r="B87" s="223"/>
      <c r="C87" s="220"/>
      <c r="D87" s="51" t="str">
        <f t="shared" si="36"/>
        <v xml:space="preserve"> </v>
      </c>
      <c r="E87" s="279"/>
      <c r="F87" s="216"/>
      <c r="G87" s="289" t="str">
        <f t="shared" si="37"/>
        <v xml:space="preserve"> </v>
      </c>
      <c r="H87" s="220"/>
      <c r="I87" s="268" t="str">
        <f t="shared" si="42"/>
        <v xml:space="preserve"> </v>
      </c>
      <c r="J87" s="220"/>
      <c r="K87" s="26">
        <f t="shared" si="39"/>
        <v>1.5</v>
      </c>
      <c r="L87" s="270" t="str">
        <f t="shared" si="40"/>
        <v xml:space="preserve"> </v>
      </c>
      <c r="M87" s="223"/>
      <c r="N87" s="220"/>
      <c r="O87" s="222" t="str">
        <f t="shared" si="41"/>
        <v xml:space="preserve"> </v>
      </c>
      <c r="P87" s="220"/>
      <c r="Q87" s="17"/>
      <c r="R87" s="17"/>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row>
    <row r="88" spans="1:49" ht="12" customHeight="1">
      <c r="A88" s="290">
        <f>A80</f>
        <v>0</v>
      </c>
      <c r="B88" s="223"/>
      <c r="C88" s="220"/>
      <c r="D88" s="51" t="str">
        <f t="shared" si="36"/>
        <v xml:space="preserve"> </v>
      </c>
      <c r="E88" s="279"/>
      <c r="F88" s="216"/>
      <c r="G88" s="289" t="str">
        <f t="shared" si="37"/>
        <v xml:space="preserve"> </v>
      </c>
      <c r="H88" s="220"/>
      <c r="I88" s="268" t="str">
        <f t="shared" si="42"/>
        <v xml:space="preserve"> </v>
      </c>
      <c r="J88" s="220"/>
      <c r="K88" s="26">
        <f t="shared" si="39"/>
        <v>1.5</v>
      </c>
      <c r="L88" s="270" t="str">
        <f t="shared" si="40"/>
        <v xml:space="preserve"> </v>
      </c>
      <c r="M88" s="223"/>
      <c r="N88" s="220"/>
      <c r="O88" s="222" t="str">
        <f t="shared" si="41"/>
        <v xml:space="preserve"> </v>
      </c>
      <c r="P88" s="220"/>
      <c r="Q88" s="17"/>
      <c r="R88" s="17"/>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row>
    <row r="89" spans="1:49" ht="12" customHeight="1">
      <c r="A89" s="1"/>
      <c r="B89" s="53"/>
      <c r="C89" s="40"/>
      <c r="D89" s="1"/>
      <c r="E89" s="1"/>
      <c r="F89" s="1"/>
      <c r="G89" s="31"/>
      <c r="H89" s="31"/>
      <c r="I89" s="1"/>
      <c r="J89" s="1"/>
      <c r="K89" s="1"/>
      <c r="L89" s="54"/>
      <c r="M89" s="6" t="str">
        <f>IF($D$14="English","Test passed?","Test bestanden?")</f>
        <v>Test passed?</v>
      </c>
      <c r="N89" s="1"/>
      <c r="O89" s="222" t="str">
        <f>IF(AND(O80="Y",O81="Y",O82="Y",O83="Y",O84="Y",O85="Y",O86="Y",O87="Y",O88="Y"),"Y","N")</f>
        <v>N</v>
      </c>
      <c r="P89" s="220"/>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row>
    <row r="90" spans="1:49" ht="12" customHeight="1">
      <c r="A90" s="28"/>
      <c r="B90" s="31"/>
      <c r="C90" s="32"/>
      <c r="D90" s="1"/>
      <c r="E90" s="1"/>
      <c r="F90" s="1"/>
      <c r="G90" s="1"/>
      <c r="H90" s="1"/>
      <c r="I90" s="1"/>
      <c r="J90" s="1"/>
      <c r="K90" s="1"/>
      <c r="L90" s="1"/>
      <c r="M90" s="1"/>
      <c r="N90" s="1"/>
      <c r="O90" s="1"/>
      <c r="P90" s="1"/>
      <c r="Q90" s="1"/>
      <c r="R90" s="1"/>
      <c r="S90" s="7" t="s">
        <v>75</v>
      </c>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row>
    <row r="91" spans="1:49" ht="12" customHeight="1">
      <c r="A91" s="28"/>
      <c r="B91" s="31"/>
      <c r="C91" s="32"/>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row>
    <row r="92" spans="1:49" ht="15" customHeight="1">
      <c r="A92" s="28"/>
      <c r="B92" s="31"/>
      <c r="C92" s="32"/>
      <c r="D92" s="1"/>
      <c r="E92" s="1"/>
      <c r="F92" s="1"/>
      <c r="G92" s="6"/>
      <c r="J92" s="17"/>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row>
    <row r="93" spans="1:49" ht="12" customHeight="1">
      <c r="A93" s="7" t="str">
        <f>IF($D$14="English","6.  Eccentricity Test (Indicator in hi-res mode)","6.  Prüfung bei Außermittiger Belastung (Indicator in hi-res mode)")</f>
        <v>6.  Eccentricity Test (Indicator in hi-res mode)</v>
      </c>
      <c r="B93" s="1"/>
      <c r="C93" s="6"/>
      <c r="D93" s="8"/>
      <c r="E93" s="8"/>
      <c r="F93" s="1"/>
      <c r="G93" s="1"/>
      <c r="H93" s="1" t="str">
        <f>IF($D$14="English","accordance to EN45501-2015, A.4.7","gemäß EN45501-2015, A.4.7")</f>
        <v>accordance to EN45501-2015, A.4.7</v>
      </c>
      <c r="I93" s="1"/>
      <c r="J93" s="1"/>
      <c r="K93" s="1"/>
      <c r="L93" s="6"/>
      <c r="M93" s="6"/>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row>
    <row r="94" spans="1:49" ht="12" customHeight="1">
      <c r="A94" s="7"/>
      <c r="B94" s="7" t="str">
        <f>IF($D$14="English","Load position","Belastungsort")</f>
        <v>Load position</v>
      </c>
      <c r="C94" s="1"/>
      <c r="D94" s="1"/>
      <c r="E94" s="1"/>
      <c r="F94" s="1"/>
      <c r="G94" s="1"/>
      <c r="H94" s="1"/>
      <c r="I94" s="1"/>
      <c r="J94" s="1"/>
      <c r="K94" s="1"/>
      <c r="L94" s="1"/>
      <c r="M94" s="1"/>
      <c r="N94" s="1"/>
      <c r="O94" s="1"/>
      <c r="P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row>
    <row r="95" spans="1:49" ht="12" customHeight="1">
      <c r="A95" s="7"/>
      <c r="B95" s="55">
        <v>1</v>
      </c>
      <c r="C95" s="56"/>
      <c r="D95" s="57">
        <f>IF($Q$101="Y",2,4)</f>
        <v>4</v>
      </c>
      <c r="E95" s="58"/>
      <c r="F95" s="57" t="str">
        <f>IF(AND($G$101=4,Q101="N")," ",IF($Q$101="Y",3,5))</f>
        <v xml:space="preserve"> </v>
      </c>
      <c r="G95" s="56"/>
      <c r="H95" s="57" t="str">
        <f>IF(AND(OR($G$101=4,$G$101=6),Q101="N")," ",IF($Q$101="Y",4,8))</f>
        <v xml:space="preserve"> </v>
      </c>
      <c r="I95" s="56"/>
      <c r="J95" s="57" t="str">
        <f>IF(AND(OR($G$101=4,$G$101=6,$G$101=8),$Q$101="N")," ",IF($Q$101="Y"," ",9))</f>
        <v xml:space="preserve"> </v>
      </c>
      <c r="K95" s="56"/>
      <c r="L95" s="57" t="str">
        <f>IF(AND(OR($G$101=4,$G$101=6,$G$101=8,$G$101=10),$Q$101="N")," ",IF($Q$101="Y"," ",11))</f>
        <v xml:space="preserve"> </v>
      </c>
      <c r="M95" s="56"/>
      <c r="O95" s="1"/>
      <c r="P95" s="1"/>
      <c r="Q95" s="23" t="s">
        <v>76</v>
      </c>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row>
    <row r="96" spans="1:49" ht="12" customHeight="1">
      <c r="A96" s="7"/>
      <c r="B96" s="59"/>
      <c r="C96" s="60"/>
      <c r="D96" s="61"/>
      <c r="E96" s="61"/>
      <c r="F96" s="62"/>
      <c r="G96" s="60"/>
      <c r="H96" s="61"/>
      <c r="I96" s="60"/>
      <c r="J96" s="59"/>
      <c r="K96" s="60"/>
      <c r="L96" s="59"/>
      <c r="M96" s="60"/>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row>
    <row r="97" spans="1:49" ht="12" customHeight="1">
      <c r="A97" s="7"/>
      <c r="B97" s="55">
        <f>IF($Q$101="Y"," ",2)</f>
        <v>2</v>
      </c>
      <c r="C97" s="63" t="s">
        <v>77</v>
      </c>
      <c r="D97" s="55">
        <f>IF($Q$101="Y"," ",3)</f>
        <v>3</v>
      </c>
      <c r="E97" s="58"/>
      <c r="F97" s="57" t="str">
        <f>IF($G$101=4," ",IF($Q$101="Y"," ",6))</f>
        <v xml:space="preserve"> </v>
      </c>
      <c r="G97" s="63"/>
      <c r="H97" s="57" t="str">
        <f>IF(OR($G$101=4,$G$101=6)," ",IF($Q$101="Y"," ",7))</f>
        <v xml:space="preserve"> </v>
      </c>
      <c r="I97" s="63"/>
      <c r="J97" s="57" t="str">
        <f>IF(AND(OR($G$101=4,$G$101=6,$G$101=8),$Q$101="N")," ",IF($Q$101="Y"," ",10))</f>
        <v xml:space="preserve"> </v>
      </c>
      <c r="K97" s="56"/>
      <c r="L97" s="57" t="str">
        <f>IF(AND(OR($G$101=4,$G$101=6,$G$101=8,$G$101=10),$Q$101="N")," ",IF($Q$101="Y"," ",12))</f>
        <v xml:space="preserve"> </v>
      </c>
      <c r="M97" s="56"/>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row>
    <row r="98" spans="1:49" ht="12" customHeight="1">
      <c r="A98" s="7"/>
      <c r="B98" s="59"/>
      <c r="C98" s="60"/>
      <c r="D98" s="61"/>
      <c r="E98" s="64"/>
      <c r="F98" s="61"/>
      <c r="G98" s="60"/>
      <c r="H98" s="61"/>
      <c r="I98" s="60"/>
      <c r="J98" s="59"/>
      <c r="K98" s="60"/>
      <c r="L98" s="59"/>
      <c r="M98" s="60"/>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row>
    <row r="99" spans="1:49" ht="12" customHeight="1">
      <c r="A99" s="7"/>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row>
    <row r="100" spans="1:49" ht="12.75" customHeight="1">
      <c r="A100" s="7"/>
      <c r="B100" s="1"/>
      <c r="C100" s="1"/>
      <c r="D100" s="1"/>
      <c r="E100" s="1"/>
      <c r="F100" s="1"/>
      <c r="G100" s="1"/>
      <c r="H100" s="1"/>
      <c r="I100" s="1"/>
      <c r="J100" s="236" t="str">
        <f>IF($D$14="English","Load positions in one line (e.g. weighing belt)?","Belastungsorte in einer Reihe (z.B. Bandwaage)?")</f>
        <v>Load positions in one line (e.g. weighing belt)?</v>
      </c>
      <c r="K100" s="237"/>
      <c r="L100" s="237"/>
      <c r="M100" s="237"/>
      <c r="N100" s="237"/>
      <c r="O100" s="237"/>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row>
    <row r="101" spans="1:49" ht="15" customHeight="1">
      <c r="A101" s="7"/>
      <c r="B101" s="1" t="str">
        <f>IF($D$14="English","number of load carrier","Anzahl Auflager")</f>
        <v>number of load carrier</v>
      </c>
      <c r="C101" s="1"/>
      <c r="F101" s="23" t="s">
        <v>76</v>
      </c>
      <c r="G101" s="171">
        <v>4</v>
      </c>
      <c r="H101" s="1"/>
      <c r="I101" s="1"/>
      <c r="J101" s="237"/>
      <c r="K101" s="237"/>
      <c r="L101" s="237"/>
      <c r="M101" s="237"/>
      <c r="N101" s="237"/>
      <c r="O101" s="237"/>
      <c r="Q101" s="172" t="s">
        <v>78</v>
      </c>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65"/>
    </row>
    <row r="102" spans="1:49" ht="12" customHeight="1">
      <c r="A102" s="7"/>
      <c r="B102" s="1"/>
      <c r="C102" s="1"/>
      <c r="D102" s="1"/>
      <c r="E102" s="1"/>
      <c r="F102" s="1"/>
      <c r="G102" s="1"/>
      <c r="H102" s="1"/>
      <c r="I102" s="1"/>
      <c r="J102" s="66"/>
      <c r="K102" s="1"/>
      <c r="L102" s="1"/>
      <c r="M102" s="1"/>
      <c r="N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row>
    <row r="103" spans="1:49" ht="12" customHeight="1">
      <c r="A103" s="264" t="str">
        <f>IF($D$14="English","load must be about","ungefähre Last")</f>
        <v>load must be about</v>
      </c>
      <c r="B103" s="220"/>
      <c r="C103" s="265" t="s">
        <v>26</v>
      </c>
      <c r="D103" s="223"/>
      <c r="E103" s="220"/>
      <c r="F103" s="67" t="s">
        <v>27</v>
      </c>
      <c r="G103" s="68"/>
      <c r="H103" s="265" t="s">
        <v>28</v>
      </c>
      <c r="I103" s="220"/>
      <c r="J103" s="67" t="s">
        <v>29</v>
      </c>
      <c r="K103" s="68"/>
      <c r="L103" s="69" t="s">
        <v>30</v>
      </c>
      <c r="M103" s="65"/>
      <c r="N103" s="65"/>
      <c r="O103" s="34"/>
      <c r="P103" s="34"/>
      <c r="Q103" s="34"/>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row>
    <row r="104" spans="1:49" ht="12" customHeight="1">
      <c r="A104" s="231" t="s">
        <v>33</v>
      </c>
      <c r="B104" s="220"/>
      <c r="C104" s="18" t="s">
        <v>32</v>
      </c>
      <c r="D104" s="20" t="s">
        <v>79</v>
      </c>
      <c r="E104" s="21" t="s">
        <v>33</v>
      </c>
      <c r="F104" s="18" t="s">
        <v>33</v>
      </c>
      <c r="G104" s="70"/>
      <c r="H104" s="231" t="s">
        <v>33</v>
      </c>
      <c r="I104" s="220"/>
      <c r="J104" s="19" t="s">
        <v>33</v>
      </c>
      <c r="K104" s="21" t="s">
        <v>32</v>
      </c>
      <c r="L104" s="19" t="s">
        <v>34</v>
      </c>
      <c r="M104" s="1"/>
      <c r="N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row>
    <row r="105" spans="1:49" ht="12" customHeight="1">
      <c r="A105" s="296">
        <f t="shared" ref="A105:A108" si="43">ROUND($D$10/($G$101-1),-0.01)</f>
        <v>0</v>
      </c>
      <c r="B105" s="220"/>
      <c r="C105" s="11" t="str">
        <f t="shared" ref="C105:C108" si="44">IF($D$9=0," ",IF(E105=" "," ",IF(E105&lt;=$D$9,E105/$D$11,E105/$D$12)))</f>
        <v xml:space="preserve"> </v>
      </c>
      <c r="D105" s="20">
        <v>1</v>
      </c>
      <c r="E105" s="179"/>
      <c r="F105" s="271"/>
      <c r="G105" s="216"/>
      <c r="H105" s="268" t="str">
        <f t="shared" ref="H105:H116" si="45">IF(F105=0," ",ABS(E105-F105))</f>
        <v xml:space="preserve"> </v>
      </c>
      <c r="I105" s="220"/>
      <c r="J105" s="90">
        <f>IF(E105=0,0,IF(E105&lt;=$D$9,PRODUCT($D$11,K105),PRODUCT($D$12,K105)))</f>
        <v>0</v>
      </c>
      <c r="K105" s="26">
        <f>IF(C105=0,0,IF(C105&lt;=500,0.5,(IF(C105&lt;=2000,1,IF(C105&gt;2000,1.5," ")))))</f>
        <v>1.5</v>
      </c>
      <c r="L105" s="27" t="str">
        <f t="shared" ref="L105:L116" si="46">IF(F105=0," ",IF(ABS(H105)&lt;=J105,"Y","N"))</f>
        <v xml:space="preserve"> </v>
      </c>
      <c r="M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row>
    <row r="106" spans="1:49" ht="12" customHeight="1">
      <c r="A106" s="296">
        <f t="shared" si="43"/>
        <v>0</v>
      </c>
      <c r="B106" s="220"/>
      <c r="C106" s="11" t="str">
        <f t="shared" si="44"/>
        <v xml:space="preserve"> </v>
      </c>
      <c r="D106" s="20">
        <v>2</v>
      </c>
      <c r="E106" s="102" t="str">
        <f t="shared" ref="E106:E108" si="47">IF($G$101&gt;1,IF($E$105=0," ",$E$105)," ")</f>
        <v xml:space="preserve"> </v>
      </c>
      <c r="F106" s="271"/>
      <c r="G106" s="216"/>
      <c r="H106" s="268" t="str">
        <f t="shared" si="45"/>
        <v xml:space="preserve"> </v>
      </c>
      <c r="I106" s="220"/>
      <c r="J106" s="90">
        <f t="shared" ref="J106:J114" si="48">IF(E106=" ",0,IF(E106&lt;=$D$9,PRODUCT($D$11,K106),PRODUCT($D$12,K106)))</f>
        <v>0</v>
      </c>
      <c r="K106" s="26">
        <f t="shared" ref="K106:K116" si="49">IF(C106=" ",0,IF(C106&lt;=500,0.5,(IF(C106&lt;=2000,1,IF(C106&gt;2000,1.5," ")))))</f>
        <v>0</v>
      </c>
      <c r="L106" s="27" t="str">
        <f t="shared" si="46"/>
        <v xml:space="preserve"> </v>
      </c>
      <c r="N106" s="73" t="str">
        <f>IF(AND(L105="Y",L106="Y",L107="Y",L108="Y"),"Y","N")</f>
        <v>N</v>
      </c>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row>
    <row r="107" spans="1:49" ht="12" customHeight="1">
      <c r="A107" s="296">
        <f t="shared" si="43"/>
        <v>0</v>
      </c>
      <c r="B107" s="220"/>
      <c r="C107" s="11" t="str">
        <f t="shared" si="44"/>
        <v xml:space="preserve"> </v>
      </c>
      <c r="D107" s="20">
        <v>3</v>
      </c>
      <c r="E107" s="102" t="str">
        <f t="shared" si="47"/>
        <v xml:space="preserve"> </v>
      </c>
      <c r="F107" s="271"/>
      <c r="G107" s="216"/>
      <c r="H107" s="268" t="str">
        <f t="shared" si="45"/>
        <v xml:space="preserve"> </v>
      </c>
      <c r="I107" s="220"/>
      <c r="J107" s="90">
        <f t="shared" si="48"/>
        <v>0</v>
      </c>
      <c r="K107" s="26">
        <f t="shared" si="49"/>
        <v>0</v>
      </c>
      <c r="L107" s="27" t="str">
        <f t="shared" si="46"/>
        <v xml:space="preserve"> </v>
      </c>
      <c r="N107" s="73" t="str">
        <f>IF(AND(L105="Y",L106="Y",L107="Y",L108="Y",L109="Y",L110="Y"),"Y","N")</f>
        <v>N</v>
      </c>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row>
    <row r="108" spans="1:49" ht="12" customHeight="1">
      <c r="A108" s="296">
        <f t="shared" si="43"/>
        <v>0</v>
      </c>
      <c r="B108" s="220"/>
      <c r="C108" s="11" t="str">
        <f t="shared" si="44"/>
        <v xml:space="preserve"> </v>
      </c>
      <c r="D108" s="20">
        <v>4</v>
      </c>
      <c r="E108" s="102" t="str">
        <f t="shared" si="47"/>
        <v xml:space="preserve"> </v>
      </c>
      <c r="F108" s="271"/>
      <c r="G108" s="216"/>
      <c r="H108" s="268" t="str">
        <f t="shared" si="45"/>
        <v xml:space="preserve"> </v>
      </c>
      <c r="I108" s="220"/>
      <c r="J108" s="90">
        <f t="shared" si="48"/>
        <v>0</v>
      </c>
      <c r="K108" s="26">
        <f t="shared" si="49"/>
        <v>0</v>
      </c>
      <c r="L108" s="27" t="str">
        <f t="shared" si="46"/>
        <v xml:space="preserve"> </v>
      </c>
      <c r="N108" s="73" t="str">
        <f>IF(AND(L105="Y",L106="Y",L107="Y",L108="Y",L109="Y",L110="Y",L111="Y",L112="Y"),"Y","N")</f>
        <v>N</v>
      </c>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row>
    <row r="109" spans="1:49" ht="12" customHeight="1">
      <c r="A109" s="296" t="str">
        <f t="shared" ref="A109:A110" si="50">IF($G$101=4," ",ROUND($D$10/($G$101-1),-0.01))</f>
        <v xml:space="preserve"> </v>
      </c>
      <c r="B109" s="220"/>
      <c r="C109" s="11" t="str">
        <f t="shared" ref="C109:C116" si="51">IF(E109=" "," ",IF(E109&lt;=$D$9,E109/$D$11,E109/$D$12))</f>
        <v xml:space="preserve"> </v>
      </c>
      <c r="D109" s="20">
        <v>5</v>
      </c>
      <c r="E109" s="102" t="str">
        <f t="shared" ref="E109:E110" si="52">IF($G$101&gt;4,IF($E$105=0," ",$E$105)," ")</f>
        <v xml:space="preserve"> </v>
      </c>
      <c r="F109" s="271"/>
      <c r="G109" s="216"/>
      <c r="H109" s="268" t="str">
        <f t="shared" si="45"/>
        <v xml:space="preserve"> </v>
      </c>
      <c r="I109" s="220"/>
      <c r="J109" s="90">
        <f t="shared" si="48"/>
        <v>0</v>
      </c>
      <c r="K109" s="26">
        <f t="shared" si="49"/>
        <v>0</v>
      </c>
      <c r="L109" s="27" t="str">
        <f t="shared" si="46"/>
        <v xml:space="preserve"> </v>
      </c>
      <c r="N109" s="73" t="str">
        <f>IF(AND(L105="Y",L106="Y",L107="Y",L108="Y",L109="Y",L110="Y",L111="Y",L112="Y",L113="Y",L114="Y"),"Y","N")</f>
        <v>N</v>
      </c>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row>
    <row r="110" spans="1:49" ht="12" customHeight="1">
      <c r="A110" s="296" t="str">
        <f t="shared" si="50"/>
        <v xml:space="preserve"> </v>
      </c>
      <c r="B110" s="220"/>
      <c r="C110" s="11" t="str">
        <f t="shared" si="51"/>
        <v xml:space="preserve"> </v>
      </c>
      <c r="D110" s="20">
        <v>6</v>
      </c>
      <c r="E110" s="102" t="str">
        <f t="shared" si="52"/>
        <v xml:space="preserve"> </v>
      </c>
      <c r="F110" s="271"/>
      <c r="G110" s="216"/>
      <c r="H110" s="268" t="str">
        <f t="shared" si="45"/>
        <v xml:space="preserve"> </v>
      </c>
      <c r="I110" s="220"/>
      <c r="J110" s="90">
        <f t="shared" si="48"/>
        <v>0</v>
      </c>
      <c r="K110" s="26">
        <f t="shared" si="49"/>
        <v>0</v>
      </c>
      <c r="L110" s="27" t="str">
        <f t="shared" si="46"/>
        <v xml:space="preserve"> </v>
      </c>
      <c r="N110" s="73" t="str">
        <f>IF(AND(L105="Y",L106="Y",L107="Y",L108="Y",L109="Y",L110="Y",L111="Y",L112="Y",L113="Y",L114="Y",L115="Y",L116="Y"),"Y","N")</f>
        <v>N</v>
      </c>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row>
    <row r="111" spans="1:49" ht="12" customHeight="1">
      <c r="A111" s="296" t="str">
        <f t="shared" ref="A111:A112" si="53">IF($G$101&lt;8," ",ROUND($D$10/($G$101-1),-0.01))</f>
        <v xml:space="preserve"> </v>
      </c>
      <c r="B111" s="220"/>
      <c r="C111" s="11" t="str">
        <f t="shared" si="51"/>
        <v xml:space="preserve"> </v>
      </c>
      <c r="D111" s="20">
        <v>7</v>
      </c>
      <c r="E111" s="102" t="str">
        <f t="shared" ref="E111:E112" si="54">IF($G$101&gt;6,IF($E$105=0," ",$E$105)," ")</f>
        <v xml:space="preserve"> </v>
      </c>
      <c r="F111" s="271"/>
      <c r="G111" s="216"/>
      <c r="H111" s="268" t="str">
        <f t="shared" si="45"/>
        <v xml:space="preserve"> </v>
      </c>
      <c r="I111" s="220"/>
      <c r="J111" s="90">
        <f t="shared" si="48"/>
        <v>0</v>
      </c>
      <c r="K111" s="26">
        <f t="shared" si="49"/>
        <v>0</v>
      </c>
      <c r="L111" s="27" t="str">
        <f t="shared" si="46"/>
        <v xml:space="preserve"> </v>
      </c>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row>
    <row r="112" spans="1:49" ht="12" customHeight="1">
      <c r="A112" s="296" t="str">
        <f t="shared" si="53"/>
        <v xml:space="preserve"> </v>
      </c>
      <c r="B112" s="220"/>
      <c r="C112" s="11" t="str">
        <f t="shared" si="51"/>
        <v xml:space="preserve"> </v>
      </c>
      <c r="D112" s="20">
        <v>8</v>
      </c>
      <c r="E112" s="102" t="str">
        <f t="shared" si="54"/>
        <v xml:space="preserve"> </v>
      </c>
      <c r="F112" s="271"/>
      <c r="G112" s="216"/>
      <c r="H112" s="268" t="str">
        <f t="shared" si="45"/>
        <v xml:space="preserve"> </v>
      </c>
      <c r="I112" s="220"/>
      <c r="J112" s="90">
        <f t="shared" si="48"/>
        <v>0</v>
      </c>
      <c r="K112" s="26">
        <f t="shared" si="49"/>
        <v>0</v>
      </c>
      <c r="L112" s="27" t="str">
        <f t="shared" si="46"/>
        <v xml:space="preserve"> </v>
      </c>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row>
    <row r="113" spans="1:49" ht="12" customHeight="1">
      <c r="A113" s="296" t="str">
        <f t="shared" ref="A113:A114" si="55">IF($G$101&lt;10," ",ROUND($D$10/($G$101-1),-0.01))</f>
        <v xml:space="preserve"> </v>
      </c>
      <c r="B113" s="220"/>
      <c r="C113" s="11" t="str">
        <f t="shared" si="51"/>
        <v xml:space="preserve"> </v>
      </c>
      <c r="D113" s="20">
        <v>9</v>
      </c>
      <c r="E113" s="102" t="str">
        <f t="shared" ref="E113:E114" si="56">IF($G$101&gt;8,IF($E$105=0," ",$E$105)," ")</f>
        <v xml:space="preserve"> </v>
      </c>
      <c r="F113" s="271"/>
      <c r="G113" s="216"/>
      <c r="H113" s="268" t="str">
        <f t="shared" si="45"/>
        <v xml:space="preserve"> </v>
      </c>
      <c r="I113" s="220"/>
      <c r="J113" s="90">
        <f t="shared" si="48"/>
        <v>0</v>
      </c>
      <c r="K113" s="26">
        <f t="shared" si="49"/>
        <v>0</v>
      </c>
      <c r="L113" s="27" t="str">
        <f t="shared" si="46"/>
        <v xml:space="preserve"> </v>
      </c>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row>
    <row r="114" spans="1:49" ht="12" customHeight="1">
      <c r="A114" s="296" t="str">
        <f t="shared" si="55"/>
        <v xml:space="preserve"> </v>
      </c>
      <c r="B114" s="220"/>
      <c r="C114" s="11" t="str">
        <f t="shared" si="51"/>
        <v xml:space="preserve"> </v>
      </c>
      <c r="D114" s="20">
        <v>10</v>
      </c>
      <c r="E114" s="102" t="str">
        <f t="shared" si="56"/>
        <v xml:space="preserve"> </v>
      </c>
      <c r="F114" s="271"/>
      <c r="G114" s="216"/>
      <c r="H114" s="268" t="str">
        <f t="shared" si="45"/>
        <v xml:space="preserve"> </v>
      </c>
      <c r="I114" s="220"/>
      <c r="J114" s="90">
        <f t="shared" si="48"/>
        <v>0</v>
      </c>
      <c r="K114" s="26">
        <f t="shared" si="49"/>
        <v>0</v>
      </c>
      <c r="L114" s="27" t="str">
        <f t="shared" si="46"/>
        <v xml:space="preserve"> </v>
      </c>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row>
    <row r="115" spans="1:49" ht="12" customHeight="1">
      <c r="A115" s="296" t="str">
        <f t="shared" ref="A115:A116" si="57">IF($G$101&lt;12," ",ROUND($D$10/($G$101-1),-0.01))</f>
        <v xml:space="preserve"> </v>
      </c>
      <c r="B115" s="220"/>
      <c r="C115" s="11" t="str">
        <f t="shared" si="51"/>
        <v xml:space="preserve"> </v>
      </c>
      <c r="D115" s="20">
        <v>11</v>
      </c>
      <c r="E115" s="102" t="str">
        <f t="shared" ref="E115:E116" si="58">IF($G$101&gt;10,IF($E$105=0," ",$E$105)," ")</f>
        <v xml:space="preserve"> </v>
      </c>
      <c r="F115" s="271"/>
      <c r="G115" s="216"/>
      <c r="H115" s="268" t="str">
        <f t="shared" si="45"/>
        <v xml:space="preserve"> </v>
      </c>
      <c r="I115" s="220"/>
      <c r="J115" s="90">
        <f t="shared" ref="J115:J116" si="59">IF(E115=0,0,IF(E115&lt;=$D$9,PRODUCT($D$11,K115),PRODUCT($D$12,K115)))</f>
        <v>0</v>
      </c>
      <c r="K115" s="26">
        <f t="shared" si="49"/>
        <v>0</v>
      </c>
      <c r="L115" s="27" t="str">
        <f t="shared" si="46"/>
        <v xml:space="preserve"> </v>
      </c>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row>
    <row r="116" spans="1:49" ht="12" customHeight="1">
      <c r="A116" s="296" t="str">
        <f t="shared" si="57"/>
        <v xml:space="preserve"> </v>
      </c>
      <c r="B116" s="220"/>
      <c r="C116" s="11" t="str">
        <f t="shared" si="51"/>
        <v xml:space="preserve"> </v>
      </c>
      <c r="D116" s="20">
        <v>12</v>
      </c>
      <c r="E116" s="102" t="str">
        <f t="shared" si="58"/>
        <v xml:space="preserve"> </v>
      </c>
      <c r="F116" s="271"/>
      <c r="G116" s="216"/>
      <c r="H116" s="268" t="str">
        <f t="shared" si="45"/>
        <v xml:space="preserve"> </v>
      </c>
      <c r="I116" s="220"/>
      <c r="J116" s="90">
        <f t="shared" si="59"/>
        <v>0</v>
      </c>
      <c r="K116" s="26">
        <f t="shared" si="49"/>
        <v>0</v>
      </c>
      <c r="L116" s="27" t="str">
        <f t="shared" si="46"/>
        <v xml:space="preserve"> </v>
      </c>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row>
    <row r="117" spans="1:49" ht="15.75" customHeight="1">
      <c r="A117" s="1"/>
      <c r="B117" s="1"/>
      <c r="C117" s="1"/>
      <c r="D117" s="1"/>
      <c r="E117" s="1"/>
      <c r="F117" s="262"/>
      <c r="G117" s="237"/>
      <c r="H117" s="31"/>
      <c r="I117" s="1"/>
      <c r="J117" s="17"/>
      <c r="K117" s="6" t="str">
        <f>IF($D$14="English","Test passed?","Test bestanden?")</f>
        <v>Test passed?</v>
      </c>
      <c r="L117" s="27" t="str">
        <f>IF($G$101=4,$N$106,IF($G$101=6,$N$107,IF($G$101=8,$N$108,IF($G$101=10,$N$109,IF($G$101=12,$N$110,"N")))))</f>
        <v>N</v>
      </c>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row>
    <row r="118" spans="1:49" ht="12" customHeight="1">
      <c r="A118" s="1"/>
      <c r="B118" s="1"/>
      <c r="C118" s="1"/>
      <c r="D118" s="1"/>
      <c r="E118" s="1"/>
      <c r="F118" s="43"/>
      <c r="G118" s="43"/>
      <c r="H118" s="31"/>
      <c r="I118" s="1"/>
      <c r="J118" s="17"/>
      <c r="K118" s="6"/>
      <c r="L118" s="17"/>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row>
    <row r="119" spans="1:49" ht="12.75" customHeight="1">
      <c r="A119" s="1"/>
      <c r="B119" s="53"/>
      <c r="C119" s="40"/>
      <c r="D119" s="1"/>
      <c r="E119" s="1"/>
      <c r="F119" s="1"/>
      <c r="G119" s="31"/>
      <c r="H119" s="31"/>
      <c r="I119" s="31"/>
      <c r="J119" s="31"/>
      <c r="K119" s="1"/>
      <c r="L119" s="6"/>
      <c r="M119" s="54"/>
      <c r="N119" s="1"/>
      <c r="O119" s="54"/>
      <c r="P119" s="17"/>
      <c r="Q119" s="17"/>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row>
    <row r="120" spans="1:49" ht="17.25" customHeight="1">
      <c r="A120" s="45" t="str">
        <f>IF($D$14="English","7.  Test with coasting load - Only for a weighbridge (0,5Max&lt;L&lt;0,8Max)","7. Test für rollende Lasten - nur für Brückenwaage (0,5Max&lt;L&lt;0,8Max)")</f>
        <v>7.  Test with coasting load - Only for a weighbridge (0,5Max&lt;L&lt;0,8Max)</v>
      </c>
      <c r="B120" s="46"/>
      <c r="C120" s="46"/>
      <c r="D120" s="41"/>
      <c r="E120" s="41"/>
      <c r="F120" s="41"/>
      <c r="G120" s="41"/>
      <c r="H120" s="41"/>
      <c r="I120" s="41"/>
      <c r="J120" s="41"/>
      <c r="K120" s="103">
        <f>$D$10*0.5</f>
        <v>0</v>
      </c>
      <c r="L120" s="20" t="s">
        <v>11</v>
      </c>
      <c r="M120" s="20" t="s">
        <v>93</v>
      </c>
      <c r="N120" s="294">
        <f>$D$10*0.8</f>
        <v>0</v>
      </c>
      <c r="O120" s="223"/>
      <c r="P120" s="223"/>
      <c r="Q120" s="21" t="s">
        <v>11</v>
      </c>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row>
    <row r="121" spans="1:49" ht="13.5" customHeight="1">
      <c r="A121" s="45" t="str">
        <f>IF($D$14="English","(Hi-Res-Mode on)","(Hi-Res-Modus an)")</f>
        <v>(Hi-Res-Mode on)</v>
      </c>
      <c r="B121" s="46"/>
      <c r="C121" s="46"/>
      <c r="D121" s="41"/>
      <c r="E121" s="1" t="str">
        <f>IF($D$14="English","accordance to EN45501-2015, A.4.7.4","gemäß EN45501-2015, A.4.7.4")</f>
        <v>accordance to EN45501-2015, A.4.7.4</v>
      </c>
      <c r="F121" s="41"/>
      <c r="G121" s="41"/>
      <c r="H121" s="1"/>
      <c r="I121" s="41"/>
      <c r="J121" s="41"/>
      <c r="K121" s="104"/>
      <c r="L121" s="105"/>
      <c r="M121" s="30"/>
      <c r="N121" s="30"/>
      <c r="O121" s="104"/>
      <c r="P121" s="105"/>
      <c r="Q121" s="30"/>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row>
    <row r="122" spans="1:49" ht="12.75" customHeight="1">
      <c r="A122" s="45"/>
      <c r="B122" s="106"/>
      <c r="C122" s="106"/>
      <c r="D122" s="107"/>
      <c r="E122" s="107"/>
      <c r="F122" s="107"/>
      <c r="G122" s="107"/>
      <c r="H122" s="41"/>
      <c r="I122" s="41"/>
      <c r="J122" s="41"/>
      <c r="K122" s="41"/>
      <c r="L122" s="30"/>
      <c r="M122" s="30"/>
      <c r="N122" s="42"/>
      <c r="O122" s="42"/>
      <c r="P122" s="28"/>
      <c r="Q122" s="28"/>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row>
    <row r="123" spans="1:49" ht="12.75" customHeight="1">
      <c r="A123" s="108"/>
      <c r="B123" s="109">
        <v>1</v>
      </c>
      <c r="C123" s="46"/>
      <c r="D123" s="110"/>
      <c r="E123" s="41">
        <v>2</v>
      </c>
      <c r="F123" s="110"/>
      <c r="G123" s="111">
        <v>3</v>
      </c>
      <c r="H123" s="41"/>
      <c r="I123" s="41" t="s">
        <v>94</v>
      </c>
      <c r="J123" s="41"/>
      <c r="K123" s="177"/>
      <c r="L123" s="1" t="s">
        <v>95</v>
      </c>
      <c r="M123" s="30" t="s">
        <v>96</v>
      </c>
      <c r="N123" s="178"/>
      <c r="O123" s="42" t="s">
        <v>95</v>
      </c>
      <c r="P123" s="28"/>
      <c r="Q123" s="28"/>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row>
    <row r="124" spans="1:49" ht="15" customHeight="1">
      <c r="A124" s="108"/>
      <c r="B124" s="46"/>
      <c r="C124" s="46"/>
      <c r="D124" s="41"/>
      <c r="E124" s="41"/>
      <c r="F124" s="41"/>
      <c r="G124" s="112"/>
      <c r="I124" s="41"/>
      <c r="J124" s="41"/>
      <c r="K124" s="41"/>
      <c r="L124" s="30"/>
      <c r="M124" s="30"/>
      <c r="N124" s="42"/>
      <c r="O124" s="42"/>
      <c r="P124" s="28"/>
      <c r="Q124" s="28"/>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row>
    <row r="125" spans="1:49" ht="12.75" customHeight="1">
      <c r="A125" s="45"/>
      <c r="B125" s="113"/>
      <c r="C125" s="114"/>
      <c r="D125" s="115" t="str">
        <f>IF($D$14="English","B = Bridge length","B = Brückenlänge")</f>
        <v>B = Bridge length</v>
      </c>
      <c r="E125" s="41"/>
      <c r="F125" s="41"/>
      <c r="G125" s="116"/>
      <c r="I125" s="295" t="str">
        <f>IF($D$14="English","Distance from the middle position to the beginning or end shall be &gt;0,1B","Distanz von der mittleren Position zum Anfang oder Ende soll &gt;0,1B sein")</f>
        <v>Distance from the middle position to the beginning or end shall be &gt;0,1B</v>
      </c>
      <c r="J125" s="237"/>
      <c r="K125" s="237"/>
      <c r="L125" s="237"/>
      <c r="M125" s="237"/>
      <c r="N125" s="237"/>
      <c r="O125" s="237"/>
      <c r="P125" s="28"/>
      <c r="Q125" s="28"/>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row>
    <row r="126" spans="1:49" ht="12.75" customHeight="1">
      <c r="A126" s="45"/>
      <c r="B126" s="46"/>
      <c r="C126" s="46"/>
      <c r="D126" s="41"/>
      <c r="E126" s="41"/>
      <c r="F126" s="41"/>
      <c r="G126" s="41"/>
      <c r="H126" s="41"/>
      <c r="I126" s="237"/>
      <c r="J126" s="237"/>
      <c r="K126" s="237"/>
      <c r="L126" s="237"/>
      <c r="M126" s="237"/>
      <c r="N126" s="237"/>
      <c r="O126" s="237"/>
      <c r="P126" s="28"/>
      <c r="Q126" s="28"/>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row>
    <row r="127" spans="1:49" ht="13.5" customHeight="1">
      <c r="A127" s="45"/>
      <c r="B127" s="46"/>
      <c r="C127" s="46"/>
      <c r="D127" s="41"/>
      <c r="E127" s="41"/>
      <c r="F127" s="41"/>
      <c r="G127" s="41"/>
      <c r="H127" s="41"/>
      <c r="I127" s="41"/>
      <c r="J127" s="41"/>
      <c r="K127" s="41"/>
      <c r="L127" s="30"/>
      <c r="M127" s="30"/>
      <c r="N127" s="42"/>
      <c r="O127" s="42"/>
      <c r="P127" s="28"/>
      <c r="Q127" s="28"/>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row>
    <row r="128" spans="1:49" ht="12.75" customHeight="1">
      <c r="A128" s="45"/>
      <c r="B128" s="46"/>
      <c r="C128" s="46"/>
      <c r="D128" s="41"/>
      <c r="E128" s="41"/>
      <c r="F128" s="41"/>
      <c r="G128" s="41"/>
      <c r="H128" s="41"/>
      <c r="I128" s="41"/>
      <c r="J128" s="41"/>
      <c r="K128" s="41"/>
      <c r="L128" s="30"/>
      <c r="M128" s="30"/>
      <c r="N128" s="42"/>
      <c r="O128" s="42"/>
      <c r="P128" s="28"/>
      <c r="Q128" s="28"/>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row>
    <row r="129" spans="1:49" ht="12.75" customHeight="1">
      <c r="A129" s="45"/>
      <c r="B129" s="46"/>
      <c r="C129" s="46"/>
      <c r="D129" s="41"/>
      <c r="E129" s="41"/>
      <c r="F129" s="41"/>
      <c r="G129" s="41"/>
      <c r="H129" s="41"/>
      <c r="I129" s="41"/>
      <c r="J129" s="41"/>
      <c r="K129" s="41"/>
      <c r="L129" s="30"/>
      <c r="M129" s="30"/>
      <c r="N129" s="42"/>
      <c r="O129" s="42"/>
      <c r="P129" s="28"/>
      <c r="Q129" s="28"/>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row>
    <row r="130" spans="1:49" ht="12" customHeight="1">
      <c r="A130" s="45"/>
      <c r="B130" s="117" t="str">
        <f>IF($D$14="English","Driving from left","von links auffahren")</f>
        <v>Driving from left</v>
      </c>
      <c r="C130" s="46"/>
      <c r="D130" s="41"/>
      <c r="E130" s="41"/>
      <c r="F130" s="41"/>
      <c r="G130" s="41"/>
      <c r="H130" s="41"/>
      <c r="I130" s="41"/>
      <c r="J130" s="41"/>
      <c r="K130" s="41"/>
      <c r="L130" s="30"/>
      <c r="M130" s="30"/>
      <c r="N130" s="42"/>
      <c r="O130" s="42"/>
      <c r="P130" s="28"/>
      <c r="Q130" s="28"/>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row>
    <row r="131" spans="1:49" ht="12" customHeight="1">
      <c r="A131" s="45"/>
      <c r="B131" s="231" t="s">
        <v>26</v>
      </c>
      <c r="C131" s="223"/>
      <c r="D131" s="223"/>
      <c r="E131" s="220"/>
      <c r="F131" s="231" t="s">
        <v>27</v>
      </c>
      <c r="G131" s="220"/>
      <c r="H131" s="231" t="s">
        <v>97</v>
      </c>
      <c r="I131" s="220"/>
      <c r="J131" s="231" t="s">
        <v>29</v>
      </c>
      <c r="K131" s="220"/>
      <c r="L131" s="19" t="s">
        <v>30</v>
      </c>
      <c r="M131" s="30"/>
      <c r="N131" s="42"/>
      <c r="O131" s="42"/>
      <c r="P131" s="28"/>
      <c r="Q131" s="28"/>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row>
    <row r="132" spans="1:49" ht="12" customHeight="1">
      <c r="A132" s="45"/>
      <c r="B132" s="18" t="s">
        <v>32</v>
      </c>
      <c r="C132" s="19" t="s">
        <v>79</v>
      </c>
      <c r="D132" s="231" t="s">
        <v>33</v>
      </c>
      <c r="E132" s="220"/>
      <c r="F132" s="231" t="s">
        <v>33</v>
      </c>
      <c r="G132" s="220"/>
      <c r="H132" s="231" t="s">
        <v>33</v>
      </c>
      <c r="I132" s="220"/>
      <c r="J132" s="19" t="s">
        <v>33</v>
      </c>
      <c r="K132" s="21" t="s">
        <v>32</v>
      </c>
      <c r="L132" s="19" t="s">
        <v>34</v>
      </c>
      <c r="M132" s="30"/>
      <c r="N132" s="42"/>
      <c r="O132" s="42"/>
      <c r="P132" s="28"/>
      <c r="Q132" s="28"/>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row>
    <row r="133" spans="1:49" ht="12" customHeight="1">
      <c r="A133" s="45"/>
      <c r="B133" s="11" t="str">
        <f t="shared" ref="B133:B135" si="60">IF($D$10=0," ",IF(D133=" ",0,IF(D133&gt;$D$9,D133/$D$12,D133/$D$11)))</f>
        <v xml:space="preserve"> </v>
      </c>
      <c r="C133" s="24">
        <v>1</v>
      </c>
      <c r="D133" s="293"/>
      <c r="E133" s="216"/>
      <c r="F133" s="285"/>
      <c r="G133" s="216"/>
      <c r="H133" s="268" t="str">
        <f t="shared" ref="H133:H135" si="61">IF(F133=0," ",ROUND(D133-F133,1))</f>
        <v xml:space="preserve"> </v>
      </c>
      <c r="I133" s="220"/>
      <c r="J133" s="98">
        <f t="shared" ref="J133:J135" si="62">IF($D$133&gt;$D$9,K133*$D$12,IF($D$133&lt;=$D$9,K133*$D$11,IF($D$133=0,0,0)))</f>
        <v>0</v>
      </c>
      <c r="K133" s="26">
        <f t="shared" ref="K133:K135" si="63">IF(B133=0,0,IF(B133&lt;=500,0.5,(IF(B133&lt;=2000,1,IF(B133&gt;2000,1.5," ")))))</f>
        <v>1.5</v>
      </c>
      <c r="L133" s="118" t="e">
        <f t="shared" ref="L133:L135" si="64">IF(ABS(H133)&lt;=J133,"Y","N")</f>
        <v>#VALUE!</v>
      </c>
      <c r="M133" s="30"/>
      <c r="N133" s="42"/>
      <c r="O133" s="42"/>
      <c r="P133" s="28"/>
      <c r="Q133" s="28"/>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row>
    <row r="134" spans="1:49" ht="12" customHeight="1">
      <c r="A134" s="45"/>
      <c r="B134" s="11" t="str">
        <f t="shared" si="60"/>
        <v xml:space="preserve"> </v>
      </c>
      <c r="C134" s="24">
        <v>2</v>
      </c>
      <c r="D134" s="292">
        <f t="shared" ref="D134:D135" si="65">$D$133</f>
        <v>0</v>
      </c>
      <c r="E134" s="220"/>
      <c r="F134" s="285"/>
      <c r="G134" s="216"/>
      <c r="H134" s="268" t="str">
        <f t="shared" si="61"/>
        <v xml:space="preserve"> </v>
      </c>
      <c r="I134" s="220"/>
      <c r="J134" s="98">
        <f t="shared" si="62"/>
        <v>0</v>
      </c>
      <c r="K134" s="26">
        <f t="shared" si="63"/>
        <v>1.5</v>
      </c>
      <c r="L134" s="118" t="e">
        <f t="shared" si="64"/>
        <v>#VALUE!</v>
      </c>
      <c r="M134" s="30"/>
      <c r="N134" s="42"/>
      <c r="O134" s="42"/>
      <c r="P134" s="28"/>
      <c r="Q134" s="28"/>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row>
    <row r="135" spans="1:49" ht="12" customHeight="1">
      <c r="A135" s="45"/>
      <c r="B135" s="11" t="str">
        <f t="shared" si="60"/>
        <v xml:space="preserve"> </v>
      </c>
      <c r="C135" s="24">
        <v>3</v>
      </c>
      <c r="D135" s="292">
        <f t="shared" si="65"/>
        <v>0</v>
      </c>
      <c r="E135" s="220"/>
      <c r="F135" s="285"/>
      <c r="G135" s="216"/>
      <c r="H135" s="268" t="str">
        <f t="shared" si="61"/>
        <v xml:space="preserve"> </v>
      </c>
      <c r="I135" s="220"/>
      <c r="J135" s="98">
        <f t="shared" si="62"/>
        <v>0</v>
      </c>
      <c r="K135" s="26">
        <f t="shared" si="63"/>
        <v>1.5</v>
      </c>
      <c r="L135" s="118" t="e">
        <f t="shared" si="64"/>
        <v>#VALUE!</v>
      </c>
      <c r="M135" s="30"/>
      <c r="N135" s="42"/>
      <c r="O135" s="42"/>
      <c r="P135" s="28"/>
      <c r="Q135" s="28"/>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row>
    <row r="136" spans="1:49" ht="12" customHeight="1">
      <c r="A136" s="45"/>
      <c r="B136" s="7"/>
      <c r="C136" s="7"/>
      <c r="D136" s="1"/>
      <c r="E136" s="1"/>
      <c r="F136" s="1"/>
      <c r="G136" s="1"/>
      <c r="H136" s="1"/>
      <c r="I136" s="224" t="str">
        <f>IF($D$14="English","Test passed?","Test bestanden?")</f>
        <v>Test passed?</v>
      </c>
      <c r="J136" s="225"/>
      <c r="K136" s="226"/>
      <c r="L136" s="118" t="e">
        <f>IF(AND(L133="Y", L134="Y", L135="Y"),"Y","N")</f>
        <v>#VALUE!</v>
      </c>
      <c r="M136" s="30"/>
      <c r="N136" s="42"/>
      <c r="O136" s="42"/>
      <c r="P136" s="28"/>
      <c r="Q136" s="28"/>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row>
    <row r="137" spans="1:49" ht="12" customHeight="1">
      <c r="A137" s="45"/>
      <c r="B137" s="46"/>
      <c r="C137" s="46"/>
      <c r="D137" s="41"/>
      <c r="E137" s="41"/>
      <c r="F137" s="41"/>
      <c r="G137" s="41"/>
      <c r="H137" s="41"/>
      <c r="I137" s="41"/>
      <c r="J137" s="41"/>
      <c r="K137" s="41"/>
      <c r="L137" s="30"/>
      <c r="M137" s="30"/>
      <c r="N137" s="42"/>
      <c r="O137" s="42"/>
      <c r="P137" s="28"/>
      <c r="Q137" s="28"/>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row>
    <row r="138" spans="1:49" ht="12" customHeight="1">
      <c r="A138" s="45"/>
      <c r="B138" s="46"/>
      <c r="C138" s="46"/>
      <c r="D138" s="41"/>
      <c r="E138" s="41"/>
      <c r="F138" s="41"/>
      <c r="G138" s="41"/>
      <c r="H138" s="41"/>
      <c r="I138" s="41"/>
      <c r="J138" s="41"/>
      <c r="K138" s="41"/>
      <c r="L138" s="30"/>
      <c r="M138" s="30"/>
      <c r="N138" s="42"/>
      <c r="O138" s="42"/>
      <c r="P138" s="28"/>
      <c r="Q138" s="28"/>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row>
    <row r="139" spans="1:49" ht="12" customHeight="1">
      <c r="A139" s="45"/>
      <c r="B139" s="46"/>
      <c r="C139" s="46"/>
      <c r="D139" s="41"/>
      <c r="E139" s="41"/>
      <c r="F139" s="41"/>
      <c r="G139" s="41"/>
      <c r="H139" s="41"/>
      <c r="I139" s="41"/>
      <c r="J139" s="41"/>
      <c r="K139" s="41"/>
      <c r="L139" s="30"/>
      <c r="M139" s="30"/>
      <c r="N139" s="42"/>
      <c r="O139" s="42"/>
      <c r="P139" s="28"/>
      <c r="Q139" s="28"/>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row>
    <row r="140" spans="1:49" ht="12" customHeight="1">
      <c r="A140" s="45"/>
      <c r="B140" s="46"/>
      <c r="C140" s="46"/>
      <c r="D140" s="41"/>
      <c r="E140" s="41"/>
      <c r="F140" s="41"/>
      <c r="G140" s="41"/>
      <c r="H140" s="41"/>
      <c r="I140" s="41"/>
      <c r="J140" s="41"/>
      <c r="K140" s="41"/>
      <c r="L140" s="30"/>
      <c r="M140" s="30"/>
      <c r="N140" s="42"/>
      <c r="O140" s="42"/>
      <c r="P140" s="28"/>
      <c r="Q140" s="28"/>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row>
    <row r="141" spans="1:49" ht="12" customHeight="1">
      <c r="A141" s="45"/>
      <c r="B141" s="117" t="str">
        <f>IF($D$14="English","Driving from right","von rechts auffahren")</f>
        <v>Driving from right</v>
      </c>
      <c r="C141" s="46"/>
      <c r="D141" s="41"/>
      <c r="E141" s="41"/>
      <c r="F141" s="41"/>
      <c r="G141" s="41"/>
      <c r="H141" s="41"/>
      <c r="I141" s="41"/>
      <c r="J141" s="41"/>
      <c r="K141" s="41"/>
      <c r="L141" s="30"/>
      <c r="M141" s="30"/>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row>
    <row r="142" spans="1:49" ht="12" customHeight="1">
      <c r="A142" s="45"/>
      <c r="B142" s="231" t="s">
        <v>26</v>
      </c>
      <c r="C142" s="223"/>
      <c r="D142" s="223"/>
      <c r="E142" s="220"/>
      <c r="F142" s="231" t="s">
        <v>27</v>
      </c>
      <c r="G142" s="220"/>
      <c r="H142" s="231" t="s">
        <v>97</v>
      </c>
      <c r="I142" s="220"/>
      <c r="J142" s="231" t="s">
        <v>29</v>
      </c>
      <c r="K142" s="220"/>
      <c r="L142" s="19" t="s">
        <v>30</v>
      </c>
      <c r="M142" s="30"/>
      <c r="N142" s="1"/>
      <c r="O142" s="119"/>
      <c r="P142" s="7"/>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row>
    <row r="143" spans="1:49" ht="12" customHeight="1">
      <c r="A143" s="45"/>
      <c r="B143" s="18" t="s">
        <v>32</v>
      </c>
      <c r="C143" s="19" t="s">
        <v>79</v>
      </c>
      <c r="D143" s="231" t="s">
        <v>33</v>
      </c>
      <c r="E143" s="220"/>
      <c r="F143" s="231" t="s">
        <v>33</v>
      </c>
      <c r="G143" s="220"/>
      <c r="H143" s="231" t="s">
        <v>33</v>
      </c>
      <c r="I143" s="220"/>
      <c r="J143" s="19" t="s">
        <v>33</v>
      </c>
      <c r="K143" s="21" t="s">
        <v>32</v>
      </c>
      <c r="L143" s="19" t="s">
        <v>34</v>
      </c>
      <c r="M143" s="30"/>
      <c r="N143" s="42"/>
      <c r="O143" s="42"/>
      <c r="P143" s="28"/>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row>
    <row r="144" spans="1:49" ht="12" customHeight="1">
      <c r="A144" s="45"/>
      <c r="B144" s="11" t="str">
        <f t="shared" ref="B144:B146" si="66">IF($D$10=0," ",IF(D144=" ",0,IF(D144&gt;$D$9,D144/$D$12,D144/$D$11)))</f>
        <v xml:space="preserve"> </v>
      </c>
      <c r="C144" s="24">
        <v>3</v>
      </c>
      <c r="D144" s="292">
        <f t="shared" ref="D144:D146" si="67">$D$133</f>
        <v>0</v>
      </c>
      <c r="E144" s="220"/>
      <c r="F144" s="285"/>
      <c r="G144" s="216"/>
      <c r="H144" s="268" t="str">
        <f t="shared" ref="H144:H146" si="68">IF(F144=0," ",ROUND(D144-F144,1))</f>
        <v xml:space="preserve"> </v>
      </c>
      <c r="I144" s="220"/>
      <c r="J144" s="98">
        <f t="shared" ref="J144:J146" si="69">IF($D$133&gt;$D$9,K144*$D$12,IF($D$133&lt;=$D$9,K144*$D$11,IF($D$133=0,0,0)))</f>
        <v>0</v>
      </c>
      <c r="K144" s="26">
        <f t="shared" ref="K144:K146" si="70">IF(B144=0,0,IF(B144&lt;=500,0.5,(IF(B144&lt;=2000,1,IF(B144&gt;2000,1.5," ")))))</f>
        <v>1.5</v>
      </c>
      <c r="L144" s="118" t="e">
        <f t="shared" ref="L144:L146" si="71">IF(ABS(H144)&lt;=J144,"Y","N")</f>
        <v>#VALUE!</v>
      </c>
      <c r="M144" s="30"/>
      <c r="N144" s="42"/>
      <c r="O144" s="42"/>
      <c r="P144" s="28"/>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row>
    <row r="145" spans="1:49" ht="12" customHeight="1">
      <c r="A145" s="45"/>
      <c r="B145" s="11" t="str">
        <f t="shared" si="66"/>
        <v xml:space="preserve"> </v>
      </c>
      <c r="C145" s="24">
        <v>2</v>
      </c>
      <c r="D145" s="292">
        <f t="shared" si="67"/>
        <v>0</v>
      </c>
      <c r="E145" s="220"/>
      <c r="F145" s="285"/>
      <c r="G145" s="216"/>
      <c r="H145" s="268" t="str">
        <f t="shared" si="68"/>
        <v xml:space="preserve"> </v>
      </c>
      <c r="I145" s="220"/>
      <c r="J145" s="98">
        <f t="shared" si="69"/>
        <v>0</v>
      </c>
      <c r="K145" s="26">
        <f t="shared" si="70"/>
        <v>1.5</v>
      </c>
      <c r="L145" s="118" t="e">
        <f t="shared" si="71"/>
        <v>#VALUE!</v>
      </c>
      <c r="M145" s="30"/>
      <c r="N145" s="42"/>
      <c r="O145" s="42"/>
      <c r="P145" s="28"/>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row>
    <row r="146" spans="1:49" ht="12" customHeight="1">
      <c r="A146" s="45"/>
      <c r="B146" s="11" t="str">
        <f t="shared" si="66"/>
        <v xml:space="preserve"> </v>
      </c>
      <c r="C146" s="24">
        <v>1</v>
      </c>
      <c r="D146" s="292">
        <f t="shared" si="67"/>
        <v>0</v>
      </c>
      <c r="E146" s="220"/>
      <c r="F146" s="285"/>
      <c r="G146" s="216"/>
      <c r="H146" s="268" t="str">
        <f t="shared" si="68"/>
        <v xml:space="preserve"> </v>
      </c>
      <c r="I146" s="220"/>
      <c r="J146" s="98">
        <f t="shared" si="69"/>
        <v>0</v>
      </c>
      <c r="K146" s="26">
        <f t="shared" si="70"/>
        <v>1.5</v>
      </c>
      <c r="L146" s="118" t="e">
        <f t="shared" si="71"/>
        <v>#VALUE!</v>
      </c>
      <c r="M146" s="30"/>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row>
    <row r="147" spans="1:49" ht="12" customHeight="1">
      <c r="A147" s="7"/>
      <c r="B147" s="7"/>
      <c r="C147" s="7"/>
      <c r="D147" s="1"/>
      <c r="E147" s="1"/>
      <c r="F147" s="1"/>
      <c r="G147" s="1"/>
      <c r="H147" s="1"/>
      <c r="I147" s="224" t="str">
        <f>IF($D$14="English","Test passed?","Test bestanden?")</f>
        <v>Test passed?</v>
      </c>
      <c r="J147" s="225"/>
      <c r="K147" s="226"/>
      <c r="L147" s="118" t="e">
        <f>IF(AND(L144="Y", L145="Y", L146="Y"),"Y","N")</f>
        <v>#VALUE!</v>
      </c>
      <c r="M147" s="6"/>
      <c r="N147" s="42"/>
      <c r="O147" s="42"/>
      <c r="P147" s="28"/>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row>
    <row r="148" spans="1:49" ht="12" customHeight="1">
      <c r="A148" s="7"/>
      <c r="B148" s="7"/>
      <c r="C148" s="7"/>
      <c r="D148" s="1"/>
      <c r="E148" s="1"/>
      <c r="F148" s="1"/>
      <c r="G148" s="1"/>
      <c r="H148" s="1"/>
      <c r="I148" s="6"/>
      <c r="J148" s="6"/>
      <c r="K148" s="6"/>
      <c r="L148" s="17"/>
      <c r="M148" s="6"/>
      <c r="N148" s="42"/>
      <c r="O148" s="42"/>
      <c r="P148" s="28"/>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row>
    <row r="149" spans="1:49" ht="12" customHeight="1">
      <c r="A149" s="7"/>
      <c r="B149" s="7"/>
      <c r="C149" s="7"/>
      <c r="D149" s="1"/>
      <c r="E149" s="1"/>
      <c r="F149" s="1"/>
      <c r="G149" s="1"/>
      <c r="H149" s="1"/>
      <c r="I149" s="6"/>
      <c r="J149" s="6"/>
      <c r="K149" s="6"/>
      <c r="L149" s="17"/>
      <c r="M149" s="6"/>
      <c r="N149" s="42"/>
      <c r="O149" s="42"/>
      <c r="P149" s="28"/>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row>
    <row r="150" spans="1:49" ht="12" customHeight="1">
      <c r="A150" s="7"/>
      <c r="B150" s="7"/>
      <c r="C150" s="7"/>
      <c r="D150" s="1"/>
      <c r="E150" s="1"/>
      <c r="F150" s="1"/>
      <c r="G150" s="1"/>
      <c r="H150" s="1"/>
      <c r="I150" s="6"/>
      <c r="J150" s="6"/>
      <c r="K150" s="6"/>
      <c r="L150" s="17"/>
      <c r="M150" s="6"/>
      <c r="N150" s="42"/>
      <c r="O150" s="42"/>
      <c r="P150" s="28"/>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row>
    <row r="151" spans="1:49" ht="12.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row>
    <row r="152" spans="1:49" ht="12.75" customHeight="1">
      <c r="A152" s="7" t="str">
        <f>IF($D$14="English","8.  Earth Gravity","8. Fallbeschleunigung")</f>
        <v>8.  Earth Gravity</v>
      </c>
      <c r="B152" s="46"/>
      <c r="C152" s="74"/>
      <c r="D152" s="74"/>
      <c r="E152" s="41"/>
      <c r="F152" s="41"/>
      <c r="G152" s="41"/>
      <c r="H152" s="75"/>
      <c r="I152" s="75"/>
      <c r="J152" s="41"/>
      <c r="K152" s="41"/>
      <c r="L152" s="73"/>
      <c r="M152" s="73"/>
      <c r="N152" s="42"/>
      <c r="O152" s="42"/>
      <c r="P152" s="28"/>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row>
    <row r="153" spans="1:49" ht="12.75" customHeight="1">
      <c r="A153" s="7" t="str">
        <f>IF($D$14="English","Verification for: g=","Prüfung für: g=")</f>
        <v>Verification for: g=</v>
      </c>
      <c r="B153" s="46"/>
      <c r="C153" s="74"/>
      <c r="D153" s="260"/>
      <c r="E153" s="216"/>
      <c r="F153" s="41"/>
      <c r="G153" s="41"/>
      <c r="H153" s="176" t="s">
        <v>80</v>
      </c>
      <c r="I153" s="7" t="str">
        <f>IF($D$14="English","Not required","vernachlässigbar")</f>
        <v>Not required</v>
      </c>
      <c r="J153" s="41"/>
      <c r="K153" s="41"/>
      <c r="L153" s="73"/>
      <c r="M153" s="73"/>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row>
    <row r="154" spans="1:49" ht="12.75" customHeight="1">
      <c r="A154" s="45"/>
      <c r="B154" s="46"/>
      <c r="C154" s="74"/>
      <c r="D154" s="260"/>
      <c r="E154" s="216"/>
      <c r="F154" s="41"/>
      <c r="G154" s="41"/>
      <c r="H154" s="75"/>
      <c r="I154" s="75"/>
      <c r="J154" s="41"/>
      <c r="K154" s="41"/>
      <c r="L154" s="73"/>
      <c r="M154" s="73"/>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row>
    <row r="155" spans="1:49" ht="12.75" customHeight="1">
      <c r="A155" s="45"/>
      <c r="B155" s="46"/>
      <c r="C155" s="74"/>
      <c r="D155" s="74"/>
      <c r="E155" s="74"/>
      <c r="F155" s="41"/>
      <c r="G155" s="41"/>
      <c r="H155" s="75"/>
      <c r="I155" s="75"/>
      <c r="J155" s="41"/>
      <c r="K155" s="41"/>
      <c r="L155" s="73"/>
      <c r="M155" s="73"/>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row>
    <row r="156" spans="1:49" ht="12.75" customHeight="1">
      <c r="A156" s="76" t="str">
        <f>IF($D$14="English","place of installation:","Ort der Inbetriebnahme:")</f>
        <v>place of installation:</v>
      </c>
      <c r="B156" s="1"/>
      <c r="C156" s="1"/>
      <c r="D156" s="1"/>
      <c r="E156" s="253"/>
      <c r="F156" s="215"/>
      <c r="G156" s="215"/>
      <c r="H156" s="215"/>
      <c r="I156" s="215"/>
      <c r="J156" s="215"/>
      <c r="K156" s="215"/>
      <c r="L156" s="215"/>
      <c r="M156" s="215"/>
      <c r="N156" s="215"/>
      <c r="O156" s="215"/>
      <c r="P156" s="215"/>
      <c r="Q156" s="26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row>
    <row r="157" spans="1:49" ht="12.75" customHeight="1">
      <c r="A157" s="77"/>
      <c r="B157" s="1"/>
      <c r="C157" s="1"/>
      <c r="D157" s="1"/>
      <c r="E157" s="253"/>
      <c r="F157" s="215"/>
      <c r="G157" s="215"/>
      <c r="H157" s="215"/>
      <c r="I157" s="215"/>
      <c r="J157" s="215"/>
      <c r="K157" s="215"/>
      <c r="L157" s="215"/>
      <c r="M157" s="215"/>
      <c r="N157" s="215"/>
      <c r="O157" s="215"/>
      <c r="P157" s="215"/>
      <c r="Q157" s="26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row>
    <row r="158" spans="1:49" ht="12.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row>
    <row r="159" spans="1:49" ht="18" customHeight="1">
      <c r="A159" s="76" t="str">
        <f>IF($D$14="English","Calibration Counter C:","Kalibrierzähler C:")</f>
        <v>Calibration Counter C:</v>
      </c>
      <c r="B159" s="1"/>
      <c r="C159" s="1"/>
      <c r="D159" s="1"/>
      <c r="E159" s="253"/>
      <c r="F159" s="216"/>
      <c r="G159" s="17"/>
      <c r="H159" s="41"/>
      <c r="I159" s="41"/>
      <c r="J159" s="41"/>
      <c r="K159" s="41"/>
      <c r="L159" s="73"/>
      <c r="M159" s="73"/>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row>
    <row r="160" spans="1:49" ht="12.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row>
    <row r="161" spans="1:49" ht="12.75" customHeight="1">
      <c r="A161" s="78"/>
      <c r="B161" s="78" t="str">
        <f>IF($D$14="English","Note:  If the scale  fails any test, it should not be used!","Anmerkung: Falls ein Test nicht bestanden ist, ist die Waage nicht eichfähig!")</f>
        <v>Note:  If the scale  fails any test, it should not be used!</v>
      </c>
      <c r="C161" s="74"/>
      <c r="D161" s="41"/>
      <c r="E161" s="41"/>
      <c r="F161" s="41"/>
      <c r="G161" s="17"/>
      <c r="H161" s="41"/>
      <c r="I161" s="41"/>
      <c r="J161" s="41"/>
      <c r="K161" s="41"/>
      <c r="L161" s="73"/>
      <c r="M161" s="73"/>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row>
    <row r="162" spans="1:49" ht="12.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row>
    <row r="163" spans="1:49" ht="12.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row>
    <row r="164" spans="1:49" ht="12.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row>
    <row r="165" spans="1:49" ht="17.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row>
    <row r="166" spans="1:49" ht="12.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row>
    <row r="167" spans="1:49" ht="12.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row>
    <row r="168" spans="1:49" ht="15" customHeight="1">
      <c r="A168" s="1"/>
      <c r="B168" s="79"/>
      <c r="C168" s="80"/>
      <c r="D168" s="80"/>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row>
    <row r="169" spans="1:49" ht="12.75" customHeight="1">
      <c r="A169" s="1"/>
      <c r="B169" s="23"/>
      <c r="C169" s="23"/>
      <c r="D169" s="23"/>
      <c r="E169" s="1"/>
      <c r="F169" s="8"/>
      <c r="G169" s="1"/>
      <c r="H169" s="81"/>
      <c r="I169" s="13"/>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row>
    <row r="170" spans="1:49" ht="12.75" customHeight="1">
      <c r="A170" s="1"/>
      <c r="B170" s="23"/>
      <c r="C170" s="23"/>
      <c r="D170" s="23"/>
      <c r="E170" s="1"/>
      <c r="F170" s="8"/>
      <c r="G170" s="1"/>
      <c r="H170" s="81"/>
      <c r="I170" s="13"/>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row>
    <row r="171" spans="1:49" ht="13.5" customHeight="1">
      <c r="A171" s="1"/>
      <c r="B171" s="23"/>
      <c r="C171" s="23"/>
      <c r="D171" s="23"/>
      <c r="E171" s="1"/>
      <c r="F171" s="8"/>
      <c r="G171" s="1"/>
      <c r="H171" s="81"/>
      <c r="I171" s="13"/>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row>
    <row r="172" spans="1:49" ht="12.75" customHeight="1">
      <c r="A172" s="1"/>
      <c r="B172" s="23"/>
      <c r="C172" s="23"/>
      <c r="D172" s="23"/>
      <c r="E172" s="1"/>
      <c r="F172" s="8"/>
      <c r="G172" s="1"/>
      <c r="H172" s="81"/>
      <c r="I172" s="13"/>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row>
    <row r="173" spans="1:49" ht="12.75" customHeight="1">
      <c r="A173" s="1"/>
      <c r="B173" s="23"/>
      <c r="C173" s="23"/>
      <c r="D173" s="23"/>
      <c r="E173" s="1"/>
      <c r="F173" s="8"/>
      <c r="G173" s="1"/>
      <c r="H173" s="81"/>
      <c r="I173" s="13"/>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row>
    <row r="174" spans="1:49" ht="12" customHeight="1">
      <c r="A174" s="1"/>
      <c r="B174" s="23"/>
      <c r="C174" s="23"/>
      <c r="D174" s="23"/>
      <c r="E174" s="1"/>
      <c r="F174" s="8"/>
      <c r="G174" s="1"/>
      <c r="H174" s="81"/>
      <c r="I174" s="13"/>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row>
    <row r="175" spans="1:49" ht="12" customHeight="1">
      <c r="A175" s="1"/>
      <c r="B175" s="23"/>
      <c r="C175" s="23"/>
      <c r="D175" s="23"/>
      <c r="E175" s="1"/>
      <c r="F175" s="8"/>
      <c r="G175" s="1"/>
      <c r="H175" s="81"/>
      <c r="I175" s="13"/>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row>
    <row r="176" spans="1:49" ht="12" customHeight="1">
      <c r="A176" s="1"/>
      <c r="B176" s="23"/>
      <c r="C176" s="23"/>
      <c r="D176" s="23"/>
      <c r="E176" s="1"/>
      <c r="F176" s="8"/>
      <c r="G176" s="1"/>
      <c r="H176" s="81"/>
      <c r="I176" s="13"/>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row>
    <row r="177" spans="1:49" ht="12" customHeight="1">
      <c r="A177" s="1"/>
      <c r="B177" s="23"/>
      <c r="C177" s="23"/>
      <c r="D177" s="23"/>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row>
    <row r="178" spans="1:49" ht="12" customHeight="1">
      <c r="A178" s="1"/>
      <c r="B178" s="23"/>
      <c r="C178" s="23"/>
      <c r="D178" s="23"/>
      <c r="E178" s="1"/>
      <c r="F178" s="8"/>
      <c r="G178" s="1"/>
      <c r="H178" s="81"/>
      <c r="I178" s="13"/>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row>
    <row r="179" spans="1:49" ht="12" customHeight="1">
      <c r="A179" s="1"/>
      <c r="B179" s="23"/>
      <c r="C179" s="23"/>
      <c r="D179" s="23"/>
      <c r="E179" s="1"/>
      <c r="F179" s="8"/>
      <c r="G179" s="1"/>
      <c r="H179" s="81"/>
      <c r="I179" s="13"/>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row>
    <row r="180" spans="1:49" ht="12" customHeight="1">
      <c r="A180" s="1"/>
      <c r="B180" s="23"/>
      <c r="C180" s="23"/>
      <c r="D180" s="23"/>
      <c r="E180" s="1"/>
      <c r="F180" s="8"/>
      <c r="G180" s="1"/>
      <c r="H180" s="81"/>
      <c r="I180" s="13"/>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row>
    <row r="181" spans="1:49" ht="12" customHeight="1">
      <c r="A181" s="1"/>
      <c r="B181" s="23"/>
      <c r="C181" s="23"/>
      <c r="D181" s="23"/>
      <c r="E181" s="1"/>
      <c r="F181" s="8"/>
      <c r="G181" s="1"/>
      <c r="H181" s="81"/>
      <c r="I181" s="13"/>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row>
    <row r="182" spans="1:49" ht="12" customHeight="1">
      <c r="A182" s="1"/>
      <c r="B182" s="23"/>
      <c r="C182" s="23"/>
      <c r="D182" s="23"/>
      <c r="E182" s="1"/>
      <c r="F182" s="8"/>
      <c r="G182" s="1"/>
      <c r="H182" s="81"/>
      <c r="I182" s="13"/>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row>
    <row r="183" spans="1:49" ht="12" customHeight="1">
      <c r="A183" s="1"/>
      <c r="B183" s="23"/>
      <c r="C183" s="23"/>
      <c r="D183" s="23"/>
      <c r="E183" s="1"/>
      <c r="F183" s="8"/>
      <c r="G183" s="1"/>
      <c r="H183" s="81"/>
      <c r="I183" s="13"/>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row>
    <row r="184" spans="1:49" ht="12" customHeight="1">
      <c r="A184" s="1"/>
      <c r="B184" s="23"/>
      <c r="C184" s="23"/>
      <c r="D184" s="23"/>
      <c r="E184" s="1"/>
      <c r="F184" s="8"/>
      <c r="G184" s="1"/>
      <c r="H184" s="81"/>
      <c r="I184" s="13"/>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row>
    <row r="185" spans="1:49" ht="12" customHeight="1">
      <c r="A185" s="1"/>
      <c r="B185" s="23"/>
      <c r="C185" s="23"/>
      <c r="D185" s="23"/>
      <c r="E185" s="1"/>
      <c r="F185" s="8"/>
      <c r="G185" s="1"/>
      <c r="H185" s="81"/>
      <c r="I185" s="13"/>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row>
    <row r="186" spans="1:49" ht="12" customHeight="1">
      <c r="A186" s="1"/>
      <c r="B186" s="23"/>
      <c r="C186" s="23"/>
      <c r="D186" s="23"/>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row>
    <row r="187" spans="1:49" ht="12" customHeight="1">
      <c r="A187" s="1"/>
      <c r="B187" s="23"/>
      <c r="C187" s="23"/>
      <c r="D187" s="23"/>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row>
    <row r="188" spans="1:49" ht="12" customHeight="1">
      <c r="A188" s="1"/>
      <c r="B188" s="23"/>
      <c r="C188" s="23"/>
      <c r="D188" s="23"/>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row>
    <row r="189" spans="1:49" ht="12" customHeight="1">
      <c r="A189" s="1"/>
      <c r="B189" s="23"/>
      <c r="C189" s="23"/>
      <c r="D189" s="23"/>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row>
    <row r="190" spans="1:49" ht="12" customHeight="1">
      <c r="A190" s="1"/>
      <c r="B190" s="23"/>
      <c r="C190" s="23"/>
      <c r="D190" s="23"/>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row>
    <row r="191" spans="1:49" ht="12" customHeight="1">
      <c r="A191" s="1"/>
      <c r="B191" s="23"/>
      <c r="C191" s="23"/>
      <c r="D191" s="23"/>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row>
    <row r="192" spans="1:49" ht="12" customHeight="1">
      <c r="A192" s="1"/>
      <c r="B192" s="23"/>
      <c r="C192" s="23"/>
      <c r="D192" s="23"/>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row>
    <row r="193" spans="1:49" ht="12" customHeight="1">
      <c r="A193" s="1"/>
      <c r="B193" s="23"/>
      <c r="C193" s="23"/>
      <c r="D193" s="23"/>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row>
    <row r="194" spans="1:49" ht="12" customHeight="1">
      <c r="A194" s="1"/>
      <c r="B194" s="23"/>
      <c r="C194" s="23"/>
      <c r="D194" s="23"/>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row>
    <row r="195" spans="1:49" ht="12" customHeight="1">
      <c r="A195" s="1"/>
      <c r="B195" s="23"/>
      <c r="C195" s="23"/>
      <c r="D195" s="23"/>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row>
    <row r="196" spans="1:49" ht="12" customHeight="1">
      <c r="A196" s="1"/>
      <c r="B196" s="23"/>
      <c r="C196" s="23"/>
      <c r="D196" s="23"/>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row>
    <row r="197" spans="1:49" ht="12" customHeight="1">
      <c r="A197" s="1"/>
      <c r="B197" s="23"/>
      <c r="C197" s="23"/>
      <c r="D197" s="23"/>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row>
    <row r="198" spans="1:49" ht="12" customHeight="1">
      <c r="A198" s="1"/>
      <c r="B198" s="23"/>
      <c r="C198" s="23"/>
      <c r="D198" s="23"/>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row>
    <row r="199" spans="1:49" ht="12" customHeight="1">
      <c r="A199" s="1"/>
      <c r="B199" s="23"/>
      <c r="C199" s="23"/>
      <c r="D199" s="23"/>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row>
    <row r="200" spans="1:49" ht="12" customHeight="1">
      <c r="A200" s="1"/>
      <c r="B200" s="23"/>
      <c r="C200" s="23"/>
      <c r="D200" s="23"/>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row>
    <row r="201" spans="1:49" ht="12" customHeight="1">
      <c r="A201" s="1"/>
      <c r="B201" s="23"/>
      <c r="C201" s="23"/>
      <c r="D201" s="23"/>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row>
    <row r="202" spans="1:49" ht="12" customHeight="1">
      <c r="A202" s="1"/>
      <c r="B202" s="23"/>
      <c r="C202" s="23"/>
      <c r="D202" s="23"/>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row>
    <row r="203" spans="1:49" ht="12" customHeight="1">
      <c r="A203" s="1"/>
      <c r="B203" s="23"/>
      <c r="C203" s="23"/>
      <c r="D203" s="23"/>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row>
    <row r="204" spans="1:49" ht="12" customHeight="1">
      <c r="A204" s="1"/>
      <c r="B204" s="23"/>
      <c r="C204" s="23"/>
      <c r="D204" s="23"/>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row>
    <row r="205" spans="1:49" ht="12" customHeight="1">
      <c r="A205" s="1"/>
      <c r="B205" s="23"/>
      <c r="C205" s="23"/>
      <c r="D205" s="23"/>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row>
    <row r="206" spans="1:49" ht="12" customHeight="1">
      <c r="A206" s="1"/>
      <c r="B206" s="23"/>
      <c r="C206" s="23"/>
      <c r="D206" s="23"/>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row>
    <row r="207" spans="1:49" ht="12" customHeight="1">
      <c r="A207" s="1"/>
      <c r="B207" s="23"/>
      <c r="C207" s="23"/>
      <c r="D207" s="23"/>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row>
    <row r="208" spans="1:49" ht="12" customHeight="1">
      <c r="A208" s="1"/>
      <c r="B208" s="23"/>
      <c r="C208" s="23"/>
      <c r="D208" s="23"/>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row>
    <row r="209" spans="1:49" ht="12" customHeight="1">
      <c r="A209" s="1"/>
      <c r="B209" s="23"/>
      <c r="C209" s="23"/>
      <c r="D209" s="23"/>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row>
    <row r="210" spans="1:49" ht="12" customHeight="1">
      <c r="A210" s="1"/>
      <c r="B210" s="23"/>
      <c r="C210" s="23"/>
      <c r="D210" s="23"/>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row>
    <row r="211" spans="1:49" ht="12" customHeight="1">
      <c r="A211" s="1"/>
      <c r="B211" s="23"/>
      <c r="C211" s="23"/>
      <c r="D211" s="23"/>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row>
    <row r="212" spans="1:49" ht="12" customHeight="1">
      <c r="A212" s="1"/>
      <c r="B212" s="23"/>
      <c r="C212" s="23"/>
      <c r="D212" s="23"/>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row>
    <row r="213" spans="1:49" ht="12" customHeight="1">
      <c r="A213" s="1"/>
      <c r="B213" s="23"/>
      <c r="C213" s="23"/>
      <c r="D213" s="23"/>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row>
    <row r="214" spans="1:49" ht="12" customHeight="1">
      <c r="A214" s="1"/>
      <c r="B214" s="23"/>
      <c r="C214" s="23"/>
      <c r="D214" s="23"/>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row>
    <row r="215" spans="1:49" ht="12" customHeight="1">
      <c r="A215" s="1"/>
      <c r="B215" s="23"/>
      <c r="C215" s="23"/>
      <c r="D215" s="23"/>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row>
    <row r="216" spans="1:49" ht="12" customHeight="1">
      <c r="A216" s="1"/>
      <c r="B216" s="23"/>
      <c r="C216" s="23"/>
      <c r="D216" s="23"/>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row>
    <row r="217" spans="1:49" ht="12" customHeight="1">
      <c r="A217" s="1"/>
      <c r="B217" s="23"/>
      <c r="C217" s="23"/>
      <c r="D217" s="23"/>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row>
    <row r="218" spans="1:49" ht="12" customHeight="1">
      <c r="A218" s="1"/>
      <c r="B218" s="23"/>
      <c r="C218" s="23"/>
      <c r="D218" s="23"/>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row>
    <row r="219" spans="1:49" ht="12" customHeight="1">
      <c r="A219" s="1"/>
      <c r="B219" s="23"/>
      <c r="C219" s="23"/>
      <c r="D219" s="23"/>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row>
    <row r="220" spans="1:49" ht="12" customHeight="1">
      <c r="A220" s="1"/>
      <c r="B220" s="23"/>
      <c r="C220" s="23"/>
      <c r="D220" s="23"/>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row>
    <row r="221" spans="1:49" ht="12" customHeight="1">
      <c r="A221" s="1"/>
      <c r="B221" s="23"/>
      <c r="C221" s="23"/>
      <c r="D221" s="23"/>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row>
    <row r="222" spans="1:49" ht="12" customHeight="1">
      <c r="A222" s="1"/>
      <c r="B222" s="23"/>
      <c r="C222" s="23"/>
      <c r="D222" s="23"/>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row>
    <row r="223" spans="1:49" ht="12" customHeight="1">
      <c r="A223" s="1"/>
      <c r="B223" s="23"/>
      <c r="C223" s="23"/>
      <c r="D223" s="23"/>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row>
    <row r="224" spans="1:49" ht="12" customHeight="1">
      <c r="A224" s="1"/>
      <c r="B224" s="23"/>
      <c r="C224" s="23"/>
      <c r="D224" s="23"/>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row>
    <row r="225" spans="1:49" ht="12" customHeight="1">
      <c r="A225" s="1"/>
      <c r="B225" s="23"/>
      <c r="C225" s="23"/>
      <c r="D225" s="23"/>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row>
    <row r="226" spans="1:49" ht="12" customHeight="1">
      <c r="A226" s="1"/>
      <c r="B226" s="23"/>
      <c r="C226" s="23"/>
      <c r="D226" s="23"/>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row>
    <row r="227" spans="1:49" ht="12" customHeight="1">
      <c r="A227" s="1"/>
      <c r="B227" s="23"/>
      <c r="C227" s="23"/>
      <c r="D227" s="23"/>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row>
    <row r="228" spans="1:49" ht="12" customHeight="1">
      <c r="A228" s="1"/>
      <c r="B228" s="23"/>
      <c r="C228" s="23"/>
      <c r="D228" s="23"/>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row>
    <row r="229" spans="1:49" ht="12" customHeight="1">
      <c r="A229" s="1"/>
      <c r="B229" s="23"/>
      <c r="C229" s="23"/>
      <c r="D229" s="23"/>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row>
    <row r="230" spans="1:49" ht="12" customHeight="1">
      <c r="A230" s="1"/>
      <c r="B230" s="23"/>
      <c r="C230" s="23"/>
      <c r="D230" s="23"/>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row>
    <row r="231" spans="1:49" ht="12" customHeight="1">
      <c r="A231" s="1"/>
      <c r="B231" s="23"/>
      <c r="C231" s="23"/>
      <c r="D231" s="23"/>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row>
    <row r="232" spans="1:49" ht="12" customHeight="1">
      <c r="A232" s="1"/>
      <c r="B232" s="23"/>
      <c r="C232" s="23"/>
      <c r="D232" s="23"/>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row>
    <row r="233" spans="1:49" ht="12" customHeight="1">
      <c r="A233" s="1"/>
      <c r="B233" s="23"/>
      <c r="C233" s="23"/>
      <c r="D233" s="23"/>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row>
    <row r="234" spans="1:49" ht="12" customHeight="1">
      <c r="A234" s="1"/>
      <c r="B234" s="23"/>
      <c r="C234" s="23"/>
      <c r="D234" s="23"/>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row>
    <row r="235" spans="1:49" ht="12" customHeight="1">
      <c r="A235" s="1"/>
      <c r="B235" s="23"/>
      <c r="C235" s="23"/>
      <c r="D235" s="23"/>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row>
    <row r="236" spans="1:49" ht="12" customHeight="1">
      <c r="A236" s="1"/>
      <c r="B236" s="23"/>
      <c r="C236" s="23"/>
      <c r="D236" s="23"/>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row>
    <row r="237" spans="1:49" ht="12" customHeight="1">
      <c r="A237" s="1"/>
      <c r="B237" s="23"/>
      <c r="C237" s="23"/>
      <c r="D237" s="23"/>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row>
    <row r="238" spans="1:49" ht="12" customHeight="1">
      <c r="A238" s="1"/>
      <c r="B238" s="23"/>
      <c r="C238" s="23"/>
      <c r="D238" s="23"/>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row>
    <row r="239" spans="1:49" ht="12" customHeight="1">
      <c r="A239" s="1"/>
      <c r="B239" s="23"/>
      <c r="C239" s="23"/>
      <c r="D239" s="23"/>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row>
    <row r="240" spans="1:49" ht="12" customHeight="1">
      <c r="A240" s="1"/>
      <c r="B240" s="23"/>
      <c r="C240" s="23"/>
      <c r="D240" s="23"/>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row>
    <row r="241" spans="1:49" ht="12" customHeight="1">
      <c r="A241" s="1"/>
      <c r="B241" s="23"/>
      <c r="C241" s="23"/>
      <c r="D241" s="23"/>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row>
    <row r="242" spans="1:49" ht="12" customHeight="1">
      <c r="A242" s="1"/>
      <c r="B242" s="23"/>
      <c r="C242" s="23"/>
      <c r="D242" s="23"/>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row>
    <row r="243" spans="1:49" ht="12" customHeight="1">
      <c r="A243" s="1"/>
      <c r="B243" s="23"/>
      <c r="C243" s="23"/>
      <c r="D243" s="23"/>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row>
    <row r="244" spans="1:49" ht="12" customHeight="1">
      <c r="A244" s="1"/>
      <c r="B244" s="23"/>
      <c r="C244" s="23"/>
      <c r="D244" s="23"/>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row>
    <row r="245" spans="1:49" ht="12" customHeight="1">
      <c r="A245" s="1"/>
      <c r="B245" s="23"/>
      <c r="C245" s="23"/>
      <c r="D245" s="23"/>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row>
    <row r="246" spans="1:49" ht="12" customHeight="1">
      <c r="A246" s="1"/>
      <c r="B246" s="23"/>
      <c r="C246" s="23"/>
      <c r="D246" s="23"/>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row>
    <row r="247" spans="1:49" ht="12" customHeight="1">
      <c r="A247" s="1"/>
      <c r="B247" s="23"/>
      <c r="C247" s="23"/>
      <c r="D247" s="23"/>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row>
    <row r="248" spans="1:49" ht="12" customHeight="1">
      <c r="A248" s="1"/>
      <c r="B248" s="23"/>
      <c r="C248" s="23"/>
      <c r="D248" s="23"/>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row>
    <row r="249" spans="1:49" ht="12" customHeight="1">
      <c r="A249" s="1"/>
      <c r="B249" s="23"/>
      <c r="C249" s="23"/>
      <c r="D249" s="23"/>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row>
    <row r="250" spans="1:49" ht="12" customHeight="1">
      <c r="A250" s="1"/>
      <c r="B250" s="23"/>
      <c r="C250" s="23"/>
      <c r="D250" s="23"/>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row>
    <row r="251" spans="1:49" ht="12" customHeight="1">
      <c r="A251" s="1"/>
      <c r="B251" s="23"/>
      <c r="C251" s="23"/>
      <c r="D251" s="23"/>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row>
    <row r="252" spans="1:49" ht="12" customHeight="1">
      <c r="A252" s="1"/>
      <c r="B252" s="23"/>
      <c r="C252" s="23"/>
      <c r="D252" s="23"/>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row>
    <row r="253" spans="1:49" ht="12" customHeight="1">
      <c r="A253" s="1"/>
      <c r="B253" s="23"/>
      <c r="C253" s="23"/>
      <c r="D253" s="23"/>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row>
    <row r="254" spans="1:49" ht="12" customHeight="1">
      <c r="A254" s="1"/>
      <c r="B254" s="23"/>
      <c r="C254" s="23"/>
      <c r="D254" s="23"/>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row>
    <row r="255" spans="1:49" ht="12" customHeight="1">
      <c r="A255" s="1"/>
      <c r="B255" s="23"/>
      <c r="C255" s="23"/>
      <c r="D255" s="23"/>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row>
    <row r="256" spans="1:49" ht="12" customHeight="1">
      <c r="A256" s="1"/>
      <c r="B256" s="23"/>
      <c r="C256" s="23"/>
      <c r="D256" s="23"/>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row>
    <row r="257" spans="1:49" ht="12" customHeight="1">
      <c r="A257" s="1"/>
      <c r="B257" s="23"/>
      <c r="C257" s="23"/>
      <c r="D257" s="23"/>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row>
    <row r="258" spans="1:49" ht="12" customHeight="1">
      <c r="A258" s="1"/>
      <c r="B258" s="23"/>
      <c r="C258" s="23"/>
      <c r="D258" s="23"/>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row>
    <row r="259" spans="1:49" ht="12" customHeight="1">
      <c r="A259" s="1"/>
      <c r="B259" s="23"/>
      <c r="C259" s="23"/>
      <c r="D259" s="23"/>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row>
    <row r="260" spans="1:49" ht="12" customHeight="1">
      <c r="A260" s="1"/>
      <c r="B260" s="23"/>
      <c r="C260" s="23"/>
      <c r="D260" s="23"/>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row>
    <row r="261" spans="1:49" ht="12" customHeight="1">
      <c r="A261" s="1"/>
      <c r="B261" s="23"/>
      <c r="C261" s="23"/>
      <c r="D261" s="23"/>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row>
    <row r="262" spans="1:49" ht="12" customHeight="1">
      <c r="A262" s="1"/>
      <c r="B262" s="23"/>
      <c r="C262" s="23"/>
      <c r="D262" s="23"/>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row>
    <row r="263" spans="1:49" ht="12" customHeight="1">
      <c r="A263" s="1"/>
      <c r="B263" s="23"/>
      <c r="C263" s="23"/>
      <c r="D263" s="23"/>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row>
    <row r="264" spans="1:49" ht="12" customHeight="1">
      <c r="A264" s="1"/>
      <c r="B264" s="23"/>
      <c r="C264" s="23"/>
      <c r="D264" s="23"/>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row>
    <row r="265" spans="1:49" ht="12" customHeight="1">
      <c r="A265" s="1"/>
      <c r="B265" s="23"/>
      <c r="C265" s="23"/>
      <c r="D265" s="23"/>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row>
    <row r="266" spans="1:49" ht="12" customHeight="1">
      <c r="A266" s="1"/>
      <c r="B266" s="23"/>
      <c r="C266" s="23"/>
      <c r="D266" s="23"/>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row>
    <row r="267" spans="1:49" ht="12" customHeight="1">
      <c r="A267" s="1"/>
      <c r="B267" s="23"/>
      <c r="C267" s="23"/>
      <c r="D267" s="23"/>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row>
    <row r="268" spans="1:49" ht="12" customHeight="1">
      <c r="A268" s="1"/>
      <c r="B268" s="23"/>
      <c r="C268" s="23"/>
      <c r="D268" s="23"/>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row>
    <row r="269" spans="1:49" ht="12" customHeight="1">
      <c r="A269" s="1"/>
      <c r="B269" s="23"/>
      <c r="C269" s="23"/>
      <c r="D269" s="23"/>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row>
    <row r="270" spans="1:49" ht="12" customHeight="1">
      <c r="A270" s="1"/>
      <c r="B270" s="23"/>
      <c r="C270" s="23"/>
      <c r="D270" s="23"/>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row>
    <row r="271" spans="1:49" ht="12" customHeight="1">
      <c r="A271" s="1"/>
      <c r="B271" s="23"/>
      <c r="C271" s="23"/>
      <c r="D271" s="23"/>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row>
    <row r="272" spans="1:49" ht="12" customHeight="1">
      <c r="A272" s="1"/>
      <c r="B272" s="23"/>
      <c r="C272" s="23"/>
      <c r="D272" s="23"/>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row>
    <row r="273" spans="1:49" ht="12" customHeight="1">
      <c r="A273" s="1"/>
      <c r="B273" s="23"/>
      <c r="C273" s="23"/>
      <c r="D273" s="23"/>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row>
    <row r="274" spans="1:49" ht="12" customHeight="1">
      <c r="A274" s="1"/>
      <c r="B274" s="23"/>
      <c r="C274" s="23"/>
      <c r="D274" s="23"/>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row>
    <row r="275" spans="1:49" ht="12" customHeight="1">
      <c r="A275" s="1"/>
      <c r="B275" s="23"/>
      <c r="C275" s="23"/>
      <c r="D275" s="23"/>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row>
    <row r="276" spans="1:49" ht="12" customHeight="1">
      <c r="A276" s="1"/>
      <c r="B276" s="23"/>
      <c r="C276" s="23"/>
      <c r="D276" s="23"/>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row>
    <row r="277" spans="1:49" ht="12" customHeight="1">
      <c r="A277" s="1"/>
      <c r="B277" s="23"/>
      <c r="C277" s="23"/>
      <c r="D277" s="23"/>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row>
    <row r="278" spans="1:49" ht="12" customHeight="1">
      <c r="A278" s="1"/>
      <c r="B278" s="23"/>
      <c r="C278" s="23"/>
      <c r="D278" s="23"/>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row>
    <row r="279" spans="1:49" ht="12" customHeight="1">
      <c r="A279" s="1"/>
      <c r="B279" s="23"/>
      <c r="C279" s="23"/>
      <c r="D279" s="23"/>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row>
    <row r="280" spans="1:49" ht="12" customHeight="1">
      <c r="A280" s="1"/>
      <c r="B280" s="23"/>
      <c r="C280" s="23"/>
      <c r="D280" s="23"/>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row>
    <row r="281" spans="1:49" ht="12" customHeight="1">
      <c r="A281" s="1"/>
      <c r="B281" s="23"/>
      <c r="C281" s="23"/>
      <c r="D281" s="23"/>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row>
    <row r="282" spans="1:49" ht="12" customHeight="1">
      <c r="A282" s="1"/>
      <c r="B282" s="23"/>
      <c r="C282" s="23"/>
      <c r="D282" s="23"/>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row>
    <row r="283" spans="1:49" ht="12" customHeight="1">
      <c r="A283" s="1"/>
      <c r="B283" s="23"/>
      <c r="C283" s="23"/>
      <c r="D283" s="23"/>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row>
    <row r="284" spans="1:49" ht="12" customHeight="1">
      <c r="A284" s="1"/>
      <c r="B284" s="23"/>
      <c r="C284" s="23"/>
      <c r="D284" s="23"/>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row>
    <row r="285" spans="1:49" ht="12" customHeight="1">
      <c r="A285" s="1"/>
      <c r="B285" s="23"/>
      <c r="C285" s="23"/>
      <c r="D285" s="23"/>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row>
    <row r="286" spans="1:49" ht="12" customHeight="1">
      <c r="A286" s="1"/>
      <c r="B286" s="23"/>
      <c r="C286" s="23"/>
      <c r="D286" s="23"/>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row>
    <row r="287" spans="1:49" ht="12" customHeight="1">
      <c r="A287" s="1"/>
      <c r="B287" s="23"/>
      <c r="C287" s="23"/>
      <c r="D287" s="23"/>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row>
    <row r="288" spans="1:49" ht="12" customHeight="1">
      <c r="A288" s="1"/>
      <c r="B288" s="23"/>
      <c r="C288" s="23"/>
      <c r="D288" s="23"/>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row>
    <row r="289" spans="1:49" ht="12" customHeight="1">
      <c r="A289" s="1"/>
      <c r="B289" s="23"/>
      <c r="C289" s="23"/>
      <c r="D289" s="23"/>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row>
    <row r="290" spans="1:49" ht="12" customHeight="1">
      <c r="A290" s="1"/>
      <c r="B290" s="23"/>
      <c r="C290" s="23"/>
      <c r="D290" s="23"/>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row>
    <row r="291" spans="1:49" ht="12" customHeight="1">
      <c r="A291" s="1"/>
      <c r="B291" s="23"/>
      <c r="C291" s="23"/>
      <c r="D291" s="23"/>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row>
    <row r="292" spans="1:49" ht="12" customHeight="1">
      <c r="A292" s="1"/>
      <c r="B292" s="23"/>
      <c r="C292" s="23"/>
      <c r="D292" s="23"/>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row>
    <row r="293" spans="1:49" ht="12" customHeight="1">
      <c r="A293" s="1"/>
      <c r="B293" s="23"/>
      <c r="C293" s="23"/>
      <c r="D293" s="23"/>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row>
    <row r="294" spans="1:49" ht="12" customHeight="1">
      <c r="A294" s="1"/>
      <c r="B294" s="23"/>
      <c r="C294" s="23"/>
      <c r="D294" s="23"/>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row>
    <row r="295" spans="1:49" ht="12" customHeight="1">
      <c r="A295" s="1"/>
      <c r="B295" s="23"/>
      <c r="C295" s="23"/>
      <c r="D295" s="23"/>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row>
    <row r="296" spans="1:49" ht="12" customHeight="1">
      <c r="A296" s="1"/>
      <c r="B296" s="23"/>
      <c r="C296" s="23"/>
      <c r="D296" s="23"/>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row>
    <row r="297" spans="1:49" ht="12" customHeight="1">
      <c r="A297" s="1"/>
      <c r="B297" s="23"/>
      <c r="C297" s="23"/>
      <c r="D297" s="23"/>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row>
    <row r="298" spans="1:49" ht="12" customHeight="1">
      <c r="A298" s="1"/>
      <c r="B298" s="23"/>
      <c r="C298" s="23"/>
      <c r="D298" s="23"/>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row>
    <row r="299" spans="1:49" ht="12" customHeight="1">
      <c r="A299" s="1"/>
      <c r="B299" s="23"/>
      <c r="C299" s="23"/>
      <c r="D299" s="23"/>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row>
    <row r="300" spans="1:49" ht="12" customHeight="1">
      <c r="A300" s="1"/>
      <c r="B300" s="23"/>
      <c r="C300" s="23"/>
      <c r="D300" s="23"/>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row>
    <row r="301" spans="1:49" ht="12" customHeight="1">
      <c r="A301" s="1"/>
      <c r="B301" s="23"/>
      <c r="C301" s="23"/>
      <c r="D301" s="23"/>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row>
    <row r="302" spans="1:49" ht="12" customHeight="1">
      <c r="A302" s="1"/>
      <c r="B302" s="23"/>
      <c r="C302" s="23"/>
      <c r="D302" s="23"/>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row>
    <row r="303" spans="1:49" ht="12" customHeight="1">
      <c r="A303" s="1"/>
      <c r="B303" s="23"/>
      <c r="C303" s="23"/>
      <c r="D303" s="23"/>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row>
    <row r="304" spans="1:49" ht="12" customHeight="1">
      <c r="A304" s="1"/>
      <c r="B304" s="23"/>
      <c r="C304" s="23"/>
      <c r="D304" s="23"/>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row>
    <row r="305" spans="1:49" ht="12" customHeight="1">
      <c r="A305" s="1"/>
      <c r="B305" s="23"/>
      <c r="C305" s="23"/>
      <c r="D305" s="23"/>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row>
    <row r="306" spans="1:49" ht="12" customHeight="1">
      <c r="A306" s="1"/>
      <c r="B306" s="23"/>
      <c r="C306" s="23"/>
      <c r="D306" s="23"/>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row>
    <row r="307" spans="1:49" ht="12" customHeight="1">
      <c r="A307" s="1"/>
      <c r="B307" s="23"/>
      <c r="C307" s="23"/>
      <c r="D307" s="23"/>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row>
    <row r="308" spans="1:49" ht="12" customHeight="1">
      <c r="A308" s="1"/>
      <c r="B308" s="23"/>
      <c r="C308" s="23"/>
      <c r="D308" s="23"/>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row>
    <row r="309" spans="1:49" ht="12" customHeight="1">
      <c r="A309" s="1"/>
      <c r="B309" s="23"/>
      <c r="C309" s="23"/>
      <c r="D309" s="23"/>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row>
    <row r="310" spans="1:49" ht="12" customHeight="1">
      <c r="A310" s="1"/>
      <c r="B310" s="23"/>
      <c r="C310" s="23"/>
      <c r="D310" s="23"/>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row>
    <row r="311" spans="1:49" ht="12" customHeight="1">
      <c r="A311" s="1"/>
      <c r="B311" s="23"/>
      <c r="C311" s="23"/>
      <c r="D311" s="23"/>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row>
    <row r="312" spans="1:49" ht="12" customHeight="1">
      <c r="A312" s="1"/>
      <c r="B312" s="23"/>
      <c r="C312" s="23"/>
      <c r="D312" s="23"/>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row>
    <row r="313" spans="1:49" ht="12" customHeight="1">
      <c r="A313" s="1"/>
      <c r="B313" s="23"/>
      <c r="C313" s="23"/>
      <c r="D313" s="23"/>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row>
    <row r="314" spans="1:49" ht="12" customHeight="1">
      <c r="A314" s="1"/>
      <c r="B314" s="23"/>
      <c r="C314" s="23"/>
      <c r="D314" s="23"/>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row>
    <row r="315" spans="1:49" ht="12" customHeight="1">
      <c r="A315" s="1"/>
      <c r="B315" s="23"/>
      <c r="C315" s="23"/>
      <c r="D315" s="23"/>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row>
    <row r="316" spans="1:49" ht="12" customHeight="1">
      <c r="A316" s="1"/>
      <c r="B316" s="23"/>
      <c r="C316" s="23"/>
      <c r="D316" s="23"/>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row>
    <row r="317" spans="1:49" ht="12" customHeight="1">
      <c r="A317" s="1"/>
      <c r="B317" s="23"/>
      <c r="C317" s="23"/>
      <c r="D317" s="23"/>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row>
    <row r="318" spans="1:49" ht="12" customHeight="1">
      <c r="A318" s="1"/>
      <c r="B318" s="23"/>
      <c r="C318" s="23"/>
      <c r="D318" s="23"/>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row>
    <row r="319" spans="1:49" ht="12" customHeight="1">
      <c r="A319" s="1"/>
      <c r="B319" s="23"/>
      <c r="C319" s="23"/>
      <c r="D319" s="23"/>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row>
    <row r="320" spans="1:49" ht="12" customHeight="1">
      <c r="A320" s="1"/>
      <c r="B320" s="23"/>
      <c r="C320" s="23"/>
      <c r="D320" s="23"/>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row>
    <row r="321" spans="1:49" ht="12" customHeight="1">
      <c r="A321" s="1"/>
      <c r="B321" s="23"/>
      <c r="C321" s="23"/>
      <c r="D321" s="23"/>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row>
    <row r="322" spans="1:49" ht="12" customHeight="1">
      <c r="A322" s="1"/>
      <c r="B322" s="23"/>
      <c r="C322" s="23"/>
      <c r="D322" s="23"/>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row>
    <row r="323" spans="1:49" ht="12" customHeight="1">
      <c r="A323" s="1"/>
      <c r="B323" s="23"/>
      <c r="C323" s="23"/>
      <c r="D323" s="23"/>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row>
    <row r="324" spans="1:49" ht="12" customHeight="1">
      <c r="A324" s="1"/>
      <c r="B324" s="23"/>
      <c r="C324" s="23"/>
      <c r="D324" s="23"/>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row>
    <row r="325" spans="1:49" ht="12" customHeight="1">
      <c r="A325" s="1"/>
      <c r="B325" s="23"/>
      <c r="C325" s="23"/>
      <c r="D325" s="23"/>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row>
    <row r="326" spans="1:49" ht="12" customHeight="1">
      <c r="A326" s="1"/>
      <c r="B326" s="23"/>
      <c r="C326" s="23"/>
      <c r="D326" s="23"/>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row>
    <row r="327" spans="1:49" ht="12" customHeight="1">
      <c r="A327" s="1"/>
      <c r="B327" s="23"/>
      <c r="C327" s="23"/>
      <c r="D327" s="23"/>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row>
    <row r="328" spans="1:49" ht="12" customHeight="1">
      <c r="A328" s="1"/>
      <c r="B328" s="23"/>
      <c r="C328" s="23"/>
      <c r="D328" s="23"/>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row>
    <row r="329" spans="1:49" ht="12" customHeight="1">
      <c r="A329" s="1"/>
      <c r="B329" s="23"/>
      <c r="C329" s="23"/>
      <c r="D329" s="23"/>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row>
    <row r="330" spans="1:49" ht="12" customHeight="1">
      <c r="A330" s="1"/>
      <c r="B330" s="23"/>
      <c r="C330" s="23"/>
      <c r="D330" s="23"/>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row>
    <row r="331" spans="1:49" ht="12" customHeight="1">
      <c r="A331" s="1"/>
      <c r="B331" s="23"/>
      <c r="C331" s="23"/>
      <c r="D331" s="23"/>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row>
    <row r="332" spans="1:49" ht="12" customHeight="1">
      <c r="A332" s="1"/>
      <c r="B332" s="23"/>
      <c r="C332" s="23"/>
      <c r="D332" s="23"/>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row>
    <row r="333" spans="1:49" ht="12" customHeight="1">
      <c r="A333" s="1"/>
      <c r="B333" s="23"/>
      <c r="C333" s="23"/>
      <c r="D333" s="23"/>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row>
    <row r="334" spans="1:49" ht="12" customHeight="1">
      <c r="A334" s="1"/>
      <c r="B334" s="23"/>
      <c r="C334" s="23"/>
      <c r="D334" s="23"/>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row>
    <row r="335" spans="1:49" ht="12" customHeight="1">
      <c r="A335" s="1"/>
      <c r="B335" s="23"/>
      <c r="C335" s="23"/>
      <c r="D335" s="23"/>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row>
    <row r="336" spans="1:49" ht="12" customHeight="1">
      <c r="A336" s="1"/>
      <c r="B336" s="23"/>
      <c r="C336" s="23"/>
      <c r="D336" s="23"/>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row>
    <row r="337" spans="1:49" ht="12" customHeight="1">
      <c r="A337" s="1"/>
      <c r="B337" s="23"/>
      <c r="C337" s="23"/>
      <c r="D337" s="23"/>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row>
    <row r="338" spans="1:49" ht="12" customHeight="1">
      <c r="A338" s="1"/>
      <c r="B338" s="23"/>
      <c r="C338" s="23"/>
      <c r="D338" s="23"/>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row>
    <row r="339" spans="1:49" ht="12" customHeight="1">
      <c r="A339" s="1"/>
      <c r="B339" s="23"/>
      <c r="C339" s="23"/>
      <c r="D339" s="23"/>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row>
    <row r="340" spans="1:49" ht="12" customHeight="1">
      <c r="A340" s="1"/>
      <c r="B340" s="23"/>
      <c r="C340" s="23"/>
      <c r="D340" s="23"/>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row>
    <row r="341" spans="1:49" ht="12" customHeight="1">
      <c r="A341" s="1"/>
      <c r="B341" s="23"/>
      <c r="C341" s="23"/>
      <c r="D341" s="23"/>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row>
    <row r="342" spans="1:49" ht="12" customHeight="1">
      <c r="A342" s="1"/>
      <c r="B342" s="23"/>
      <c r="C342" s="23"/>
      <c r="D342" s="23"/>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row>
    <row r="343" spans="1:49" ht="12" customHeight="1">
      <c r="A343" s="1"/>
      <c r="B343" s="23"/>
      <c r="C343" s="23"/>
      <c r="D343" s="23"/>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row>
    <row r="344" spans="1:49" ht="12" customHeight="1">
      <c r="A344" s="1"/>
      <c r="B344" s="23"/>
      <c r="C344" s="23"/>
      <c r="D344" s="23"/>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row>
    <row r="345" spans="1:49" ht="12" customHeight="1">
      <c r="A345" s="1"/>
      <c r="B345" s="23"/>
      <c r="C345" s="23"/>
      <c r="D345" s="23"/>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row>
    <row r="346" spans="1:49" ht="12" customHeight="1">
      <c r="A346" s="1"/>
      <c r="B346" s="23"/>
      <c r="C346" s="23"/>
      <c r="D346" s="23"/>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row>
    <row r="347" spans="1:49" ht="12" customHeight="1">
      <c r="A347" s="1"/>
      <c r="B347" s="23"/>
      <c r="C347" s="23"/>
      <c r="D347" s="23"/>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row>
    <row r="348" spans="1:49" ht="12" customHeight="1">
      <c r="A348" s="1"/>
      <c r="B348" s="23"/>
      <c r="C348" s="23"/>
      <c r="D348" s="23"/>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row>
    <row r="349" spans="1:49" ht="12" customHeight="1">
      <c r="A349" s="1"/>
      <c r="B349" s="23"/>
      <c r="C349" s="23"/>
      <c r="D349" s="23"/>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row>
    <row r="350" spans="1:49" ht="12" customHeight="1">
      <c r="A350" s="1"/>
      <c r="B350" s="23"/>
      <c r="C350" s="23"/>
      <c r="D350" s="23"/>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row>
    <row r="351" spans="1:49" ht="12" customHeight="1">
      <c r="A351" s="1"/>
      <c r="B351" s="23"/>
      <c r="C351" s="23"/>
      <c r="D351" s="23"/>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row>
    <row r="352" spans="1:49" ht="12" customHeight="1">
      <c r="A352" s="1"/>
      <c r="B352" s="23"/>
      <c r="C352" s="23"/>
      <c r="D352" s="23"/>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row>
    <row r="353" spans="1:49" ht="12" customHeight="1">
      <c r="A353" s="1"/>
      <c r="B353" s="23"/>
      <c r="C353" s="23"/>
      <c r="D353" s="23"/>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row>
    <row r="354" spans="1:49" ht="12" customHeight="1">
      <c r="A354" s="1"/>
      <c r="B354" s="23"/>
      <c r="C354" s="23"/>
      <c r="D354" s="23"/>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row>
    <row r="355" spans="1:49" ht="12" customHeight="1">
      <c r="A355" s="1"/>
      <c r="B355" s="23"/>
      <c r="C355" s="23"/>
      <c r="D355" s="23"/>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row>
    <row r="356" spans="1:49" ht="12" customHeight="1">
      <c r="A356" s="1"/>
      <c r="B356" s="23"/>
      <c r="C356" s="23"/>
      <c r="D356" s="23"/>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row>
    <row r="357" spans="1:49" ht="12" customHeight="1">
      <c r="A357" s="1"/>
      <c r="B357" s="23"/>
      <c r="C357" s="23"/>
      <c r="D357" s="23"/>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row>
    <row r="358" spans="1:49" ht="12" customHeight="1">
      <c r="A358" s="1"/>
      <c r="B358" s="23"/>
      <c r="C358" s="23"/>
      <c r="D358" s="23"/>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row>
    <row r="359" spans="1:49" ht="12" customHeight="1">
      <c r="A359" s="1"/>
      <c r="B359" s="23"/>
      <c r="C359" s="23"/>
      <c r="D359" s="23"/>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row>
    <row r="360" spans="1:49" ht="12" customHeight="1">
      <c r="A360" s="1"/>
      <c r="B360" s="23"/>
      <c r="C360" s="23"/>
      <c r="D360" s="23"/>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row>
    <row r="361" spans="1:49" ht="12" customHeight="1">
      <c r="A361" s="1"/>
      <c r="B361" s="23"/>
      <c r="C361" s="23"/>
      <c r="D361" s="23"/>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row>
    <row r="362" spans="1:49" ht="12"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row>
    <row r="363" spans="1:49" ht="12"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row>
    <row r="364" spans="1:49" ht="12"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row>
    <row r="365" spans="1:49" ht="12"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row>
    <row r="366" spans="1:49" ht="12"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row>
    <row r="367" spans="1:49" ht="12"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row>
    <row r="368" spans="1:49" ht="12"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row>
    <row r="369" spans="1:49" ht="12"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row>
    <row r="370" spans="1:49" ht="12"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row>
    <row r="371" spans="1:49" ht="12"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row>
    <row r="372" spans="1:49" ht="12"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row>
    <row r="373" spans="1:49" ht="12"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row>
    <row r="374" spans="1:49" ht="12"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row>
    <row r="375" spans="1:49" ht="12"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row>
    <row r="376" spans="1:49" ht="12"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row>
    <row r="377" spans="1:49" ht="12"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row>
    <row r="378" spans="1:49" ht="12"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row>
    <row r="379" spans="1:49" ht="12"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row>
    <row r="380" spans="1:49" ht="12"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row>
    <row r="381" spans="1:49" ht="12"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row>
    <row r="382" spans="1:49" ht="12"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row>
    <row r="383" spans="1:49" ht="12"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row>
    <row r="384" spans="1:49" ht="12"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row>
    <row r="385" spans="1:49" ht="12"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row>
    <row r="386" spans="1:49" ht="12"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row>
    <row r="387" spans="1:49" ht="12"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row>
    <row r="388" spans="1:49" ht="12"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row>
    <row r="389" spans="1:49" ht="12"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row>
    <row r="390" spans="1:49" ht="12"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row>
    <row r="391" spans="1:49" ht="12"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row>
    <row r="392" spans="1:49" ht="12"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row>
    <row r="393" spans="1:49" ht="12"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row>
    <row r="394" spans="1:49" ht="12"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row>
    <row r="395" spans="1:49" ht="12"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row>
    <row r="396" spans="1:49" ht="12"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row>
    <row r="397" spans="1:49" ht="12"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row>
    <row r="398" spans="1:49" ht="12"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row>
    <row r="399" spans="1:49" ht="12"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row>
    <row r="400" spans="1:49" ht="12"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row>
    <row r="401" spans="1:49" ht="12"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row>
    <row r="402" spans="1:49" ht="12"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row>
    <row r="403" spans="1:49" ht="12"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row>
    <row r="404" spans="1:49" ht="12"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row>
    <row r="405" spans="1:49" ht="12"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row>
    <row r="406" spans="1:49" ht="12"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row>
    <row r="407" spans="1:49" ht="12"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row>
    <row r="408" spans="1:49" ht="12"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row>
    <row r="409" spans="1:49" ht="12"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row>
    <row r="410" spans="1:49" ht="12"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row>
    <row r="411" spans="1:49" ht="12"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row>
    <row r="412" spans="1:49" ht="12"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row>
    <row r="413" spans="1:49" ht="12"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row>
    <row r="414" spans="1:49" ht="12"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row>
    <row r="415" spans="1:49" ht="12"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row>
    <row r="416" spans="1:49" ht="12"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row>
    <row r="417" spans="1:49" ht="12"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row>
    <row r="418" spans="1:49" ht="12"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row>
    <row r="419" spans="1:49" ht="12"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row>
    <row r="420" spans="1:49" ht="12"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row>
    <row r="421" spans="1:49" ht="12"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row>
    <row r="422" spans="1:49" ht="12"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row>
    <row r="423" spans="1:49" ht="12"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row>
    <row r="424" spans="1:49" ht="12"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row>
    <row r="425" spans="1:49" ht="12"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row>
    <row r="426" spans="1:49" ht="12"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row>
    <row r="427" spans="1:49" ht="12"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row>
    <row r="428" spans="1:49" ht="12"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row>
    <row r="429" spans="1:49" ht="12"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row>
    <row r="430" spans="1:49" ht="12"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row>
    <row r="431" spans="1:49" ht="12"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row>
    <row r="432" spans="1:49" ht="12"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row>
    <row r="433" spans="1:49" ht="12"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row>
    <row r="434" spans="1:49" ht="12"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row>
    <row r="435" spans="1:49" ht="12"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row>
    <row r="436" spans="1:49" ht="12"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row>
    <row r="437" spans="1:49" ht="12"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row>
    <row r="438" spans="1:49" ht="12"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row>
    <row r="439" spans="1:49" ht="12"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row>
    <row r="440" spans="1:49" ht="12"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row>
    <row r="441" spans="1:49" ht="12"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row>
    <row r="442" spans="1:49" ht="12"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row>
    <row r="443" spans="1:49" ht="12"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row>
    <row r="444" spans="1:49" ht="12"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row>
    <row r="445" spans="1:49" ht="12"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row>
    <row r="446" spans="1:49" ht="12"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row>
    <row r="447" spans="1:49" ht="12"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row>
    <row r="448" spans="1:49" ht="12"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row>
    <row r="449" spans="1:49" ht="12"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row>
    <row r="450" spans="1:49" ht="12"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row>
    <row r="451" spans="1:49" ht="12"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row>
    <row r="452" spans="1:49" ht="12"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row>
    <row r="453" spans="1:49" ht="12"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row>
    <row r="454" spans="1:49" ht="12"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row>
    <row r="455" spans="1:49" ht="12"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row>
    <row r="456" spans="1:49" ht="12"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row>
    <row r="457" spans="1:49" ht="12"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row>
    <row r="458" spans="1:49" ht="12"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row>
    <row r="459" spans="1:49" ht="12"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row>
    <row r="460" spans="1:49" ht="12"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row>
    <row r="461" spans="1:49" ht="12"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row>
    <row r="462" spans="1:49" ht="12"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row>
    <row r="463" spans="1:49" ht="12"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row>
    <row r="464" spans="1:49" ht="12"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row>
    <row r="465" spans="1:49" ht="12"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row>
    <row r="466" spans="1:49" ht="12"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row>
    <row r="467" spans="1:49" ht="12"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row>
    <row r="468" spans="1:49" ht="12"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row>
    <row r="469" spans="1:49" ht="12"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row>
    <row r="470" spans="1:49" ht="12"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row>
    <row r="471" spans="1:49" ht="12"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row>
    <row r="472" spans="1:49" ht="12"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row>
    <row r="473" spans="1:49" ht="12"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row>
    <row r="474" spans="1:49" ht="12"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row>
    <row r="475" spans="1:49" ht="12"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row>
    <row r="476" spans="1:49" ht="12"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row>
    <row r="477" spans="1:49" ht="12"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row>
    <row r="478" spans="1:49" ht="12"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row>
    <row r="479" spans="1:49" ht="12"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row>
    <row r="480" spans="1:49" ht="12"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row>
    <row r="481" spans="1:49" ht="12"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row>
    <row r="482" spans="1:49" ht="12"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row>
    <row r="483" spans="1:49" ht="12"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row>
    <row r="484" spans="1:49" ht="12"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row>
    <row r="485" spans="1:49" ht="12"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row>
    <row r="486" spans="1:49" ht="12"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row>
    <row r="487" spans="1:49" ht="12"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row>
    <row r="488" spans="1:49" ht="12"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row>
    <row r="489" spans="1:49" ht="12"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row>
    <row r="490" spans="1:49" ht="12"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row>
    <row r="491" spans="1:49" ht="12"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row>
    <row r="492" spans="1:49" ht="12"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row>
    <row r="493" spans="1:49" ht="12"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row>
    <row r="494" spans="1:49" ht="12"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row>
    <row r="495" spans="1:49" ht="12"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row>
    <row r="496" spans="1:49" ht="12"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row>
    <row r="497" spans="1:49" ht="12"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row>
    <row r="498" spans="1:49" ht="12"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row>
    <row r="499" spans="1:49" ht="12"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row>
    <row r="500" spans="1:49" ht="12"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row>
    <row r="501" spans="1:49" ht="12"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row>
    <row r="502" spans="1:49" ht="12"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row>
    <row r="503" spans="1:49" ht="12"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row>
    <row r="504" spans="1:49" ht="12"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row>
    <row r="505" spans="1:49" ht="12"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row>
    <row r="506" spans="1:49" ht="12"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row>
    <row r="507" spans="1:49" ht="12"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row>
    <row r="508" spans="1:49" ht="12"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row>
    <row r="509" spans="1:49" ht="12"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row>
    <row r="510" spans="1:49" ht="12"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row>
    <row r="511" spans="1:49" ht="12"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row>
    <row r="512" spans="1:49" ht="12"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row>
    <row r="513" spans="1:49" ht="12"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row>
    <row r="514" spans="1:49" ht="12"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row>
    <row r="515" spans="1:49" ht="12"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row>
    <row r="516" spans="1:49" ht="12"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row>
    <row r="517" spans="1:49" ht="12"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row>
    <row r="518" spans="1:49" ht="12"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row>
    <row r="519" spans="1:49" ht="12"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row>
    <row r="520" spans="1:49" ht="12"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row>
    <row r="521" spans="1:49" ht="12"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row>
    <row r="522" spans="1:49" ht="12"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row>
    <row r="523" spans="1:49" ht="12"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row>
    <row r="524" spans="1:49" ht="12"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row>
    <row r="525" spans="1:49" ht="12"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row>
    <row r="526" spans="1:49" ht="12"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row>
    <row r="527" spans="1:49" ht="12"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row>
    <row r="528" spans="1:49" ht="12"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row>
    <row r="529" spans="1:49" ht="12"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row>
    <row r="530" spans="1:49" ht="12"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row>
    <row r="531" spans="1:49" ht="12"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row>
    <row r="532" spans="1:49" ht="12"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row>
    <row r="533" spans="1:49" ht="12"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row>
    <row r="534" spans="1:49" ht="12"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row>
    <row r="535" spans="1:49" ht="12"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row>
    <row r="536" spans="1:49" ht="12"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row>
    <row r="537" spans="1:49" ht="12"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row>
    <row r="538" spans="1:49" ht="12"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row>
    <row r="539" spans="1:49" ht="12"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row>
    <row r="540" spans="1:49" ht="12"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row>
    <row r="541" spans="1:49" ht="12"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row>
    <row r="542" spans="1:49" ht="12"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row>
    <row r="543" spans="1:49" ht="12"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row>
    <row r="544" spans="1:49" ht="12"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row>
    <row r="545" spans="1:49" ht="12"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row>
    <row r="546" spans="1:49" ht="12"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row>
    <row r="547" spans="1:49" ht="12"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row>
    <row r="548" spans="1:49" ht="12"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row>
    <row r="549" spans="1:49" ht="12"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row>
    <row r="550" spans="1:49" ht="12"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row>
    <row r="551" spans="1:49" ht="12"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row>
    <row r="552" spans="1:49" ht="12"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row>
    <row r="553" spans="1:49" ht="12"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row>
    <row r="554" spans="1:49" ht="12"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row>
    <row r="555" spans="1:49" ht="12"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row>
    <row r="556" spans="1:49" ht="12"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row>
    <row r="557" spans="1:49" ht="12"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row>
    <row r="558" spans="1:49" ht="12"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row>
    <row r="559" spans="1:49" ht="12"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row>
    <row r="560" spans="1:49" ht="12"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row>
    <row r="561" spans="1:49" ht="12"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row>
    <row r="562" spans="1:49" ht="12"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row>
    <row r="563" spans="1:49" ht="12"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row>
    <row r="564" spans="1:49" ht="12"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row>
    <row r="565" spans="1:49" ht="12"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row>
    <row r="566" spans="1:49" ht="12"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row>
    <row r="567" spans="1:49" ht="12"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row>
    <row r="568" spans="1:49" ht="12"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row>
    <row r="569" spans="1:49" ht="12"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row>
    <row r="570" spans="1:49" ht="12"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row>
    <row r="571" spans="1:49" ht="12"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row>
    <row r="572" spans="1:49" ht="12"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row>
    <row r="573" spans="1:49" ht="12"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row>
    <row r="574" spans="1:49" ht="12"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row>
    <row r="575" spans="1:49" ht="12"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row>
    <row r="576" spans="1:49" ht="12"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row>
    <row r="577" spans="1:49" ht="12"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row>
    <row r="578" spans="1:49" ht="12"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row>
    <row r="579" spans="1:49" ht="12"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row>
    <row r="580" spans="1:49" ht="12"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row>
    <row r="581" spans="1:49" ht="12"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row>
    <row r="582" spans="1:49" ht="12"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row>
    <row r="583" spans="1:49" ht="12"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row>
    <row r="584" spans="1:49" ht="12"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row>
    <row r="585" spans="1:49" ht="12"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row>
    <row r="586" spans="1:49" ht="12"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row>
    <row r="587" spans="1:49" ht="12"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row>
    <row r="588" spans="1:49" ht="12"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row>
    <row r="589" spans="1:49" ht="12"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row>
    <row r="590" spans="1:49" ht="12"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row>
    <row r="591" spans="1:49" ht="12"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row>
    <row r="592" spans="1:49" ht="12"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row>
    <row r="593" spans="1:49" ht="12"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row>
    <row r="594" spans="1:49" ht="12"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row>
    <row r="595" spans="1:49" ht="12"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row>
    <row r="596" spans="1:49" ht="12"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row>
    <row r="597" spans="1:49" ht="12"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row>
    <row r="598" spans="1:49" ht="12"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row>
    <row r="599" spans="1:49" ht="12"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row>
    <row r="600" spans="1:49" ht="12"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row>
    <row r="601" spans="1:49" ht="12"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row>
    <row r="602" spans="1:49" ht="12"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row>
    <row r="603" spans="1:49" ht="12"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row>
    <row r="604" spans="1:49" ht="12"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row>
    <row r="605" spans="1:49" ht="12"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row>
    <row r="606" spans="1:49" ht="12"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row>
    <row r="607" spans="1:49" ht="12"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row>
    <row r="608" spans="1:49" ht="12"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row>
    <row r="609" spans="1:49" ht="12"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row>
    <row r="610" spans="1:49" ht="12"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row>
    <row r="611" spans="1:49" ht="12"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row>
    <row r="612" spans="1:49" ht="12"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row>
    <row r="613" spans="1:49" ht="12"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row>
    <row r="614" spans="1:49" ht="12"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row>
    <row r="615" spans="1:49" ht="12"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row>
    <row r="616" spans="1:49" ht="12"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row>
    <row r="617" spans="1:49" ht="12"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row>
    <row r="618" spans="1:49" ht="12"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row>
    <row r="619" spans="1:49" ht="12"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row>
    <row r="620" spans="1:49" ht="12"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row>
    <row r="621" spans="1:49" ht="12"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row>
    <row r="622" spans="1:49" ht="12"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row>
    <row r="623" spans="1:49" ht="12"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row>
    <row r="624" spans="1:49" ht="12"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row>
    <row r="625" spans="1:49" ht="12"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row>
    <row r="626" spans="1:49" ht="12"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row>
    <row r="627" spans="1:49" ht="12"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row>
    <row r="628" spans="1:49" ht="12"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row>
    <row r="629" spans="1:49" ht="12"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row>
    <row r="630" spans="1:49" ht="12"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row>
    <row r="631" spans="1:49" ht="12"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row>
    <row r="632" spans="1:49" ht="12"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row>
    <row r="633" spans="1:49" ht="12"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row>
    <row r="634" spans="1:49" ht="12"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row>
    <row r="635" spans="1:49" ht="12"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row>
    <row r="636" spans="1:49" ht="12"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row>
    <row r="637" spans="1:49" ht="12"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row>
    <row r="638" spans="1:49" ht="12"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row>
    <row r="639" spans="1:49" ht="12"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row>
    <row r="640" spans="1:49" ht="12"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row>
    <row r="641" spans="1:49" ht="12"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row>
    <row r="642" spans="1:49" ht="12"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row>
    <row r="643" spans="1:49" ht="12"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row>
    <row r="644" spans="1:49" ht="12"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row>
    <row r="645" spans="1:49" ht="12"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row>
    <row r="646" spans="1:49" ht="12"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row>
    <row r="647" spans="1:49" ht="12"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row>
    <row r="648" spans="1:49" ht="12"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row>
    <row r="649" spans="1:49" ht="12"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row>
    <row r="650" spans="1:49" ht="12"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row>
    <row r="651" spans="1:49" ht="12"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row>
    <row r="652" spans="1:49" ht="12"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row>
    <row r="653" spans="1:49" ht="12"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row>
    <row r="654" spans="1:49" ht="12"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row>
    <row r="655" spans="1:49" ht="12"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row>
    <row r="656" spans="1:49" ht="12"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row>
    <row r="657" spans="1:49" ht="12"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row>
    <row r="658" spans="1:49" ht="12"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row>
    <row r="659" spans="1:49" ht="12"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row>
    <row r="660" spans="1:49" ht="12"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row>
    <row r="661" spans="1:49" ht="12"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row>
    <row r="662" spans="1:49" ht="12"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row>
    <row r="663" spans="1:49" ht="12"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row>
    <row r="664" spans="1:49" ht="12"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row>
    <row r="665" spans="1:49" ht="12"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row>
    <row r="666" spans="1:49" ht="12"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row>
    <row r="667" spans="1:49" ht="12"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row>
    <row r="668" spans="1:49" ht="12"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row>
    <row r="669" spans="1:49" ht="12"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row>
    <row r="670" spans="1:49" ht="12"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row>
    <row r="671" spans="1:49" ht="12"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row>
    <row r="672" spans="1:49" ht="12"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row>
    <row r="673" spans="1:49" ht="12"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row>
    <row r="674" spans="1:49" ht="12"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row>
    <row r="675" spans="1:49" ht="12"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row>
    <row r="676" spans="1:49" ht="12"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row>
    <row r="677" spans="1:49" ht="12"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row>
    <row r="678" spans="1:49" ht="12"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row>
    <row r="679" spans="1:49" ht="12"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row>
    <row r="680" spans="1:49" ht="12"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row>
    <row r="681" spans="1:49" ht="12"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row>
    <row r="682" spans="1:49" ht="12"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row>
    <row r="683" spans="1:49" ht="12"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row>
    <row r="684" spans="1:49" ht="12"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row>
    <row r="685" spans="1:49" ht="12"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row>
    <row r="686" spans="1:49" ht="12"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row>
    <row r="687" spans="1:49" ht="12"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row>
    <row r="688" spans="1:49" ht="12"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row>
    <row r="689" spans="1:49" ht="12"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row>
    <row r="690" spans="1:49" ht="12"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row>
    <row r="691" spans="1:49" ht="12"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row>
    <row r="692" spans="1:49" ht="12"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row>
    <row r="693" spans="1:49" ht="12"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row>
    <row r="694" spans="1:49" ht="12"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row>
    <row r="695" spans="1:49" ht="12"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row>
    <row r="696" spans="1:49" ht="12"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row>
    <row r="697" spans="1:49" ht="12"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row>
    <row r="698" spans="1:49" ht="12"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row>
    <row r="699" spans="1:49" ht="12"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row>
    <row r="700" spans="1:49" ht="12"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row>
    <row r="701" spans="1:49" ht="12"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row>
    <row r="702" spans="1:49" ht="12"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row>
    <row r="703" spans="1:49" ht="12"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row>
    <row r="704" spans="1:49" ht="12"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row>
    <row r="705" spans="1:49" ht="12"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row>
    <row r="706" spans="1:49" ht="12"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row>
    <row r="707" spans="1:49" ht="12"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row>
    <row r="708" spans="1:49" ht="12"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row>
    <row r="709" spans="1:49" ht="12"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row>
    <row r="710" spans="1:49" ht="12"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row>
    <row r="711" spans="1:49" ht="12"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row>
    <row r="712" spans="1:49" ht="12"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row>
    <row r="713" spans="1:49" ht="12"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row>
    <row r="714" spans="1:49" ht="12"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row>
    <row r="715" spans="1:49" ht="12"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row>
    <row r="716" spans="1:49" ht="12"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row>
    <row r="717" spans="1:49" ht="12"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row>
    <row r="718" spans="1:49" ht="12"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row>
    <row r="719" spans="1:49" ht="12"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row>
    <row r="720" spans="1:49" ht="12"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row>
    <row r="721" spans="1:49" ht="12"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row>
    <row r="722" spans="1:49" ht="12"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row>
    <row r="723" spans="1:49" ht="12"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row>
    <row r="724" spans="1:49" ht="12"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row>
    <row r="725" spans="1:49" ht="12"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row>
    <row r="726" spans="1:49" ht="12"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row>
    <row r="727" spans="1:49" ht="12"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row>
    <row r="728" spans="1:49" ht="12"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row>
    <row r="729" spans="1:49" ht="12"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row>
    <row r="730" spans="1:49" ht="12"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row>
    <row r="731" spans="1:49" ht="12"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row>
    <row r="732" spans="1:49" ht="12"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row>
    <row r="733" spans="1:49" ht="12"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row>
    <row r="734" spans="1:49" ht="12"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row>
    <row r="735" spans="1:49" ht="12"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row>
    <row r="736" spans="1:49" ht="12"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row>
    <row r="737" spans="1:49" ht="12"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row>
    <row r="738" spans="1:49" ht="12"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row>
    <row r="739" spans="1:49" ht="12"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row>
    <row r="740" spans="1:49" ht="12"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row>
    <row r="741" spans="1:49" ht="12"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row>
    <row r="742" spans="1:49" ht="12"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row>
    <row r="743" spans="1:49" ht="12"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row>
    <row r="744" spans="1:49" ht="12"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row>
    <row r="745" spans="1:49" ht="12"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row>
    <row r="746" spans="1:49" ht="12"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row>
    <row r="747" spans="1:49" ht="12"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row>
    <row r="748" spans="1:49" ht="12"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row>
    <row r="749" spans="1:49" ht="12"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row>
    <row r="750" spans="1:49" ht="12"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row>
    <row r="751" spans="1:49" ht="12"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row>
    <row r="752" spans="1:49" ht="12"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row>
    <row r="753" spans="1:49" ht="12"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row>
    <row r="754" spans="1:49" ht="12"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row>
    <row r="755" spans="1:49" ht="12"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row>
    <row r="756" spans="1:49" ht="12"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row>
    <row r="757" spans="1:49" ht="12"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row>
    <row r="758" spans="1:49" ht="12"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row>
    <row r="759" spans="1:49" ht="12"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row>
    <row r="760" spans="1:49" ht="12"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row>
    <row r="761" spans="1:49" ht="12"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row>
    <row r="762" spans="1:49" ht="12"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row>
    <row r="763" spans="1:49" ht="12"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row>
    <row r="764" spans="1:49" ht="12"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row>
    <row r="765" spans="1:49" ht="12"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row>
    <row r="766" spans="1:49" ht="12"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row>
    <row r="767" spans="1:49" ht="12"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row>
    <row r="768" spans="1:49" ht="12"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row>
    <row r="769" spans="1:49" ht="12"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row>
    <row r="770" spans="1:49" ht="12"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row>
    <row r="771" spans="1:49" ht="12"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row>
    <row r="772" spans="1:49" ht="12"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row>
    <row r="773" spans="1:49" ht="12"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row>
    <row r="774" spans="1:49" ht="12"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row>
    <row r="775" spans="1:49" ht="12"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row>
    <row r="776" spans="1:49" ht="12"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row>
    <row r="777" spans="1:49" ht="12"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row>
    <row r="778" spans="1:49" ht="12"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row>
    <row r="779" spans="1:49" ht="12"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row>
    <row r="780" spans="1:49" ht="12"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row>
    <row r="781" spans="1:49" ht="12"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row>
    <row r="782" spans="1:49" ht="12"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row>
    <row r="783" spans="1:49" ht="12"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row>
    <row r="784" spans="1:49" ht="12"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row>
    <row r="785" spans="1:49" ht="12"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row>
    <row r="786" spans="1:49" ht="12"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row>
    <row r="787" spans="1:49" ht="12"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row>
    <row r="788" spans="1:49" ht="12"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row>
    <row r="789" spans="1:49" ht="12"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row>
    <row r="790" spans="1:49" ht="12"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row>
    <row r="791" spans="1:49" ht="12"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row>
    <row r="792" spans="1:49" ht="12"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row>
    <row r="793" spans="1:49" ht="12"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row>
    <row r="794" spans="1:49" ht="12"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row>
    <row r="795" spans="1:49" ht="12"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row>
    <row r="796" spans="1:49" ht="12"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row>
    <row r="797" spans="1:49" ht="12"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row>
    <row r="798" spans="1:49" ht="12"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row>
    <row r="799" spans="1:49" ht="12"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row>
    <row r="800" spans="1:49" ht="12"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row>
    <row r="801" spans="1:49" ht="12"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row>
    <row r="802" spans="1:49" ht="12"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row>
    <row r="803" spans="1:49" ht="12"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row>
    <row r="804" spans="1:49" ht="12"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row>
    <row r="805" spans="1:49" ht="12"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row>
    <row r="806" spans="1:49" ht="12"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row>
    <row r="807" spans="1:49" ht="12"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row>
    <row r="808" spans="1:49" ht="12"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row>
    <row r="809" spans="1:49" ht="12"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row>
    <row r="810" spans="1:49" ht="12"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row>
    <row r="811" spans="1:49" ht="12"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row>
    <row r="812" spans="1:49" ht="12"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row>
    <row r="813" spans="1:49" ht="12"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row>
    <row r="814" spans="1:49" ht="12"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row>
    <row r="815" spans="1:49" ht="12"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row>
    <row r="816" spans="1:49" ht="12"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row>
    <row r="817" spans="1:49" ht="12"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row>
    <row r="818" spans="1:49" ht="12"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row>
    <row r="819" spans="1:49" ht="12"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row>
    <row r="820" spans="1:49" ht="12"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row>
    <row r="821" spans="1:49" ht="12"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row>
    <row r="822" spans="1:49" ht="12"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row>
    <row r="823" spans="1:49" ht="12"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row>
    <row r="824" spans="1:49" ht="12"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row>
    <row r="825" spans="1:49" ht="12"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row>
    <row r="826" spans="1:49" ht="12"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row>
    <row r="827" spans="1:49" ht="12"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row>
    <row r="828" spans="1:49" ht="12"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row>
    <row r="829" spans="1:49" ht="12"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row>
    <row r="830" spans="1:49" ht="12"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row>
    <row r="831" spans="1:49" ht="12"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row>
    <row r="832" spans="1:49" ht="12"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row>
    <row r="833" spans="1:49" ht="12"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row>
    <row r="834" spans="1:49" ht="12"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row>
    <row r="835" spans="1:49" ht="12"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row>
    <row r="836" spans="1:49" ht="12"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row>
    <row r="837" spans="1:49" ht="12"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row>
    <row r="838" spans="1:49" ht="12"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row>
    <row r="839" spans="1:49" ht="12"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row>
    <row r="840" spans="1:49" ht="12"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row>
    <row r="841" spans="1:49" ht="12"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row>
    <row r="842" spans="1:49" ht="12"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row>
    <row r="843" spans="1:49" ht="12"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row>
    <row r="844" spans="1:49" ht="12"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row>
    <row r="845" spans="1:49" ht="12"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row>
    <row r="846" spans="1:49" ht="12"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row>
    <row r="847" spans="1:49" ht="12"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row>
    <row r="848" spans="1:49" ht="12"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row>
    <row r="849" spans="1:49" ht="12"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row>
    <row r="850" spans="1:49" ht="12"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row>
    <row r="851" spans="1:49" ht="12"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row>
    <row r="852" spans="1:49" ht="12"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row>
    <row r="853" spans="1:49" ht="12"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row>
    <row r="854" spans="1:49" ht="12"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row>
    <row r="855" spans="1:49" ht="12"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row>
    <row r="856" spans="1:49" ht="12"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row>
    <row r="857" spans="1:49" ht="12"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row>
    <row r="858" spans="1:49" ht="12"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row>
    <row r="859" spans="1:49" ht="12"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row>
    <row r="860" spans="1:49" ht="12"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row>
    <row r="861" spans="1:49" ht="12"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row>
    <row r="862" spans="1:49" ht="12"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row>
    <row r="863" spans="1:49" ht="12"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row>
    <row r="864" spans="1:49" ht="12"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row>
    <row r="865" spans="1:49" ht="12"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row>
    <row r="866" spans="1:49" ht="12"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row>
    <row r="867" spans="1:49" ht="12"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row>
    <row r="868" spans="1:49" ht="12"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row>
    <row r="869" spans="1:49" ht="12"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row>
    <row r="870" spans="1:49" ht="12"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row>
    <row r="871" spans="1:49" ht="12"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row>
    <row r="872" spans="1:49" ht="12"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row>
    <row r="873" spans="1:49" ht="12"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row>
    <row r="874" spans="1:49" ht="12"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row>
    <row r="875" spans="1:49" ht="12"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row>
    <row r="876" spans="1:49" ht="12"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row>
    <row r="877" spans="1:49" ht="12"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row>
    <row r="878" spans="1:49" ht="12"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row>
    <row r="879" spans="1:49" ht="12"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row>
    <row r="880" spans="1:49" ht="12"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row>
    <row r="881" spans="1:49" ht="12"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row>
    <row r="882" spans="1:49" ht="12"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row>
    <row r="883" spans="1:49" ht="12"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row>
    <row r="884" spans="1:49" ht="12"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row>
    <row r="885" spans="1:49" ht="12"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row>
    <row r="886" spans="1:49" ht="12"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row>
    <row r="887" spans="1:49" ht="12"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row>
    <row r="888" spans="1:49" ht="12"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row>
    <row r="889" spans="1:49" ht="12"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row>
    <row r="890" spans="1:49" ht="12"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row>
    <row r="891" spans="1:49" ht="12"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row>
    <row r="892" spans="1:49" ht="12"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row>
    <row r="893" spans="1:49" ht="12"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row>
    <row r="894" spans="1:49" ht="12"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row>
    <row r="895" spans="1:49" ht="12"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row>
    <row r="896" spans="1:49" ht="12"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row>
    <row r="897" spans="1:49" ht="12"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row>
    <row r="898" spans="1:49" ht="12"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row>
    <row r="899" spans="1:49" ht="12"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row>
    <row r="900" spans="1:49" ht="12"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row>
    <row r="901" spans="1:49" ht="12"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row>
    <row r="902" spans="1:49" ht="12"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row>
    <row r="903" spans="1:49" ht="12"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row>
    <row r="904" spans="1:49" ht="12"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row>
    <row r="905" spans="1:49" ht="12"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row>
    <row r="906" spans="1:49" ht="12"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row>
    <row r="907" spans="1:49" ht="12"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row>
    <row r="908" spans="1:49" ht="12"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row>
    <row r="909" spans="1:49" ht="12"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row>
    <row r="910" spans="1:49" ht="12"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row>
    <row r="911" spans="1:49" ht="12"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row>
    <row r="912" spans="1:49" ht="12"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row>
    <row r="913" spans="1:49" ht="12"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row>
    <row r="914" spans="1:49" ht="12"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row>
    <row r="915" spans="1:49" ht="12"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row>
    <row r="916" spans="1:49" ht="12"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row>
    <row r="917" spans="1:49" ht="12"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row>
    <row r="918" spans="1:49" ht="12"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row>
    <row r="919" spans="1:49" ht="12"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row>
    <row r="920" spans="1:49" ht="12"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row>
    <row r="921" spans="1:49" ht="12"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row>
    <row r="922" spans="1:49" ht="12"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row>
    <row r="923" spans="1:49" ht="12"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row>
    <row r="924" spans="1:49" ht="12"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row>
    <row r="925" spans="1:49" ht="12"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row>
    <row r="926" spans="1:49" ht="12"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row>
    <row r="927" spans="1:49" ht="12"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row>
    <row r="928" spans="1:49" ht="12"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row>
    <row r="929" spans="1:49" ht="12"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row>
    <row r="930" spans="1:49" ht="12"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row>
    <row r="931" spans="1:49" ht="12"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row>
    <row r="932" spans="1:49" ht="12"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row>
    <row r="933" spans="1:49" ht="12"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row>
    <row r="934" spans="1:49" ht="12"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row>
    <row r="935" spans="1:49" ht="12"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row>
    <row r="936" spans="1:49" ht="12"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row>
    <row r="937" spans="1:49" ht="12"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row>
    <row r="938" spans="1:49" ht="12"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row>
    <row r="939" spans="1:49" ht="12"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row>
    <row r="940" spans="1:49" ht="12"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row>
    <row r="941" spans="1:49" ht="12"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row>
    <row r="942" spans="1:49" ht="12"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row>
    <row r="943" spans="1:49" ht="12"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row>
    <row r="944" spans="1:49" ht="12"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row>
    <row r="945" spans="1:49" ht="12"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row>
    <row r="946" spans="1:49" ht="12"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row>
    <row r="947" spans="1:49" ht="12"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row>
    <row r="948" spans="1:49" ht="12"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row>
    <row r="949" spans="1:49" ht="12"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row>
    <row r="950" spans="1:49" ht="12"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row>
    <row r="951" spans="1:49" ht="12"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row>
    <row r="952" spans="1:49" ht="12"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row>
    <row r="953" spans="1:49" ht="12"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row>
    <row r="954" spans="1:49" ht="12"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row>
    <row r="955" spans="1:49" ht="12"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row>
    <row r="956" spans="1:49" ht="12"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row>
    <row r="957" spans="1:49" ht="12"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row>
    <row r="958" spans="1:49" ht="12"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row>
    <row r="959" spans="1:49" ht="12"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row>
    <row r="960" spans="1:49" ht="12"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row>
    <row r="961" spans="1:49" ht="12"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row>
    <row r="962" spans="1:49" ht="12"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row>
    <row r="963" spans="1:49" ht="12"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row>
    <row r="964" spans="1:49" ht="12"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row>
    <row r="965" spans="1:49" ht="12"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row>
    <row r="966" spans="1:49" ht="12"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row>
    <row r="967" spans="1:49" ht="12"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row>
    <row r="968" spans="1:49" ht="12"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row>
    <row r="969" spans="1:49" ht="12"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row>
    <row r="970" spans="1:49" ht="12"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row>
    <row r="971" spans="1:49" ht="12"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row>
    <row r="972" spans="1:49" ht="12"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row>
    <row r="973" spans="1:49" ht="12"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row>
    <row r="974" spans="1:49" ht="12"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row>
    <row r="975" spans="1:49" ht="12"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row>
    <row r="976" spans="1:49" ht="12"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row>
    <row r="977" spans="1:49" ht="12"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row>
    <row r="978" spans="1:49" ht="12"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row>
    <row r="979" spans="1:49" ht="12"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row>
    <row r="980" spans="1:49" ht="12"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row>
    <row r="981" spans="1:49" ht="12"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row>
    <row r="982" spans="1:49" ht="12"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row>
    <row r="983" spans="1:49" ht="12"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row>
    <row r="984" spans="1:49" ht="12"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row>
    <row r="985" spans="1:49" ht="12"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row>
    <row r="986" spans="1:49" ht="12"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row>
    <row r="987" spans="1:49" ht="12"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row>
    <row r="988" spans="1:49" ht="12"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row>
    <row r="989" spans="1:49" ht="12"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row>
    <row r="990" spans="1:49" ht="12"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row>
    <row r="991" spans="1:49" ht="12"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row>
    <row r="992" spans="1:49" ht="12"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row>
    <row r="993" spans="1:49" ht="12"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row>
    <row r="994" spans="1:49" ht="12"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row>
    <row r="995" spans="1:49" ht="12"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row>
    <row r="996" spans="1:49" ht="12"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row>
    <row r="997" spans="1:49" ht="12"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row>
    <row r="998" spans="1:49" ht="12"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row>
    <row r="999" spans="1:49" ht="12"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row>
    <row r="1000" spans="1:49" ht="12"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row>
  </sheetData>
  <sheetProtection algorithmName="SHA-512" hashValue="cM6iZcqLCiBnZ0bv/AXfJfTVQYnXyr0xIo3XGlqS4AvcEvixF3+KqfZY1ebTMNrSrPKFbBrWnf3hfUko95y48w==" saltValue="ZaFhQFsfjdbA9gBN6KwMvQ==" spinCount="100000" sheet="1" objects="1" scenarios="1"/>
  <mergeCells count="344">
    <mergeCell ref="L79:N79"/>
    <mergeCell ref="M68:O68"/>
    <mergeCell ref="P68:Q68"/>
    <mergeCell ref="P69:Q69"/>
    <mergeCell ref="A71:Q71"/>
    <mergeCell ref="A75:Q76"/>
    <mergeCell ref="C77:D77"/>
    <mergeCell ref="A78:C78"/>
    <mergeCell ref="E78:F78"/>
    <mergeCell ref="G78:H78"/>
    <mergeCell ref="A79:C79"/>
    <mergeCell ref="E79:F79"/>
    <mergeCell ref="G79:H79"/>
    <mergeCell ref="I79:J79"/>
    <mergeCell ref="E68:F68"/>
    <mergeCell ref="I78:K78"/>
    <mergeCell ref="L78:N78"/>
    <mergeCell ref="I80:J80"/>
    <mergeCell ref="E81:F81"/>
    <mergeCell ref="E82:F82"/>
    <mergeCell ref="G82:H82"/>
    <mergeCell ref="I82:J82"/>
    <mergeCell ref="L82:N82"/>
    <mergeCell ref="O82:P82"/>
    <mergeCell ref="A86:C86"/>
    <mergeCell ref="A87:C87"/>
    <mergeCell ref="E80:F80"/>
    <mergeCell ref="G80:H80"/>
    <mergeCell ref="L80:N80"/>
    <mergeCell ref="O80:P80"/>
    <mergeCell ref="A80:C80"/>
    <mergeCell ref="A81:C81"/>
    <mergeCell ref="G81:H81"/>
    <mergeCell ref="I81:J81"/>
    <mergeCell ref="L81:N81"/>
    <mergeCell ref="O81:P81"/>
    <mergeCell ref="A82:C82"/>
    <mergeCell ref="A83:C83"/>
    <mergeCell ref="E83:F83"/>
    <mergeCell ref="G83:H83"/>
    <mergeCell ref="I83:J83"/>
    <mergeCell ref="A103:B103"/>
    <mergeCell ref="C103:E103"/>
    <mergeCell ref="A104:B104"/>
    <mergeCell ref="F105:G105"/>
    <mergeCell ref="A105:B105"/>
    <mergeCell ref="A106:B106"/>
    <mergeCell ref="A107:B107"/>
    <mergeCell ref="A108:B108"/>
    <mergeCell ref="E88:F88"/>
    <mergeCell ref="G88:H88"/>
    <mergeCell ref="A109:B109"/>
    <mergeCell ref="A110:B110"/>
    <mergeCell ref="A111:B111"/>
    <mergeCell ref="F106:G106"/>
    <mergeCell ref="F107:G107"/>
    <mergeCell ref="F108:G108"/>
    <mergeCell ref="F109:G109"/>
    <mergeCell ref="F110:G110"/>
    <mergeCell ref="F111:G111"/>
    <mergeCell ref="F112:G112"/>
    <mergeCell ref="A112:B112"/>
    <mergeCell ref="A113:B113"/>
    <mergeCell ref="A114:B114"/>
    <mergeCell ref="A115:B115"/>
    <mergeCell ref="A116:B116"/>
    <mergeCell ref="B131:E131"/>
    <mergeCell ref="D132:E132"/>
    <mergeCell ref="F133:G133"/>
    <mergeCell ref="D145:E145"/>
    <mergeCell ref="F134:G134"/>
    <mergeCell ref="F135:G135"/>
    <mergeCell ref="F142:G142"/>
    <mergeCell ref="F143:G143"/>
    <mergeCell ref="F144:G144"/>
    <mergeCell ref="F145:G145"/>
    <mergeCell ref="F146:G146"/>
    <mergeCell ref="F113:G113"/>
    <mergeCell ref="F114:G114"/>
    <mergeCell ref="F115:G115"/>
    <mergeCell ref="F116:G116"/>
    <mergeCell ref="F117:G117"/>
    <mergeCell ref="F131:G131"/>
    <mergeCell ref="F132:G132"/>
    <mergeCell ref="H112:I112"/>
    <mergeCell ref="H113:I113"/>
    <mergeCell ref="H114:I114"/>
    <mergeCell ref="H115:I115"/>
    <mergeCell ref="H116:I116"/>
    <mergeCell ref="N120:P120"/>
    <mergeCell ref="I125:O126"/>
    <mergeCell ref="J131:K131"/>
    <mergeCell ref="H105:I105"/>
    <mergeCell ref="H106:I106"/>
    <mergeCell ref="H107:I107"/>
    <mergeCell ref="H108:I108"/>
    <mergeCell ref="H109:I109"/>
    <mergeCell ref="H110:I110"/>
    <mergeCell ref="H111:I111"/>
    <mergeCell ref="H131:I131"/>
    <mergeCell ref="H132:I132"/>
    <mergeCell ref="H133:I133"/>
    <mergeCell ref="H134:I134"/>
    <mergeCell ref="H135:I135"/>
    <mergeCell ref="I136:K136"/>
    <mergeCell ref="J142:K142"/>
    <mergeCell ref="E157:Q157"/>
    <mergeCell ref="E159:F159"/>
    <mergeCell ref="H142:I142"/>
    <mergeCell ref="H143:I143"/>
    <mergeCell ref="H144:I144"/>
    <mergeCell ref="H145:I145"/>
    <mergeCell ref="H146:I146"/>
    <mergeCell ref="I147:K147"/>
    <mergeCell ref="E156:Q156"/>
    <mergeCell ref="D146:E146"/>
    <mergeCell ref="D153:E153"/>
    <mergeCell ref="D154:E154"/>
    <mergeCell ref="D133:E133"/>
    <mergeCell ref="D134:E134"/>
    <mergeCell ref="D135:E135"/>
    <mergeCell ref="B142:E142"/>
    <mergeCell ref="D143:E143"/>
    <mergeCell ref="D144:E144"/>
    <mergeCell ref="O83:P83"/>
    <mergeCell ref="A84:C84"/>
    <mergeCell ref="I84:J84"/>
    <mergeCell ref="O84:P84"/>
    <mergeCell ref="E86:F86"/>
    <mergeCell ref="G86:H86"/>
    <mergeCell ref="E87:F87"/>
    <mergeCell ref="G87:H87"/>
    <mergeCell ref="I87:J87"/>
    <mergeCell ref="O85:P85"/>
    <mergeCell ref="O86:P86"/>
    <mergeCell ref="O87:P87"/>
    <mergeCell ref="I88:J88"/>
    <mergeCell ref="E84:F84"/>
    <mergeCell ref="G84:H84"/>
    <mergeCell ref="A85:C85"/>
    <mergeCell ref="E85:F85"/>
    <mergeCell ref="G85:H85"/>
    <mergeCell ref="I85:J85"/>
    <mergeCell ref="I86:J86"/>
    <mergeCell ref="L83:N83"/>
    <mergeCell ref="L84:N84"/>
    <mergeCell ref="L85:N85"/>
    <mergeCell ref="L86:N86"/>
    <mergeCell ref="L87:N87"/>
    <mergeCell ref="L88:N88"/>
    <mergeCell ref="A88:C88"/>
    <mergeCell ref="O88:P88"/>
    <mergeCell ref="O89:P89"/>
    <mergeCell ref="J100:O101"/>
    <mergeCell ref="H103:I103"/>
    <mergeCell ref="H104:I104"/>
    <mergeCell ref="S1:U1"/>
    <mergeCell ref="S2:U2"/>
    <mergeCell ref="L5:Q5"/>
    <mergeCell ref="D6:H6"/>
    <mergeCell ref="L6:Q6"/>
    <mergeCell ref="S6:U6"/>
    <mergeCell ref="L12:Q13"/>
    <mergeCell ref="L15:Q16"/>
    <mergeCell ref="J17:K17"/>
    <mergeCell ref="P17:Q17"/>
    <mergeCell ref="S17:U17"/>
    <mergeCell ref="L7:Q7"/>
    <mergeCell ref="L9:Q9"/>
    <mergeCell ref="S9:U9"/>
    <mergeCell ref="L10:Q10"/>
    <mergeCell ref="I13:J13"/>
    <mergeCell ref="S13:U13"/>
    <mergeCell ref="I14:J14"/>
    <mergeCell ref="D23:F23"/>
    <mergeCell ref="G23:H23"/>
    <mergeCell ref="I23:J23"/>
    <mergeCell ref="K23:L23"/>
    <mergeCell ref="N23:O23"/>
    <mergeCell ref="E17:H17"/>
    <mergeCell ref="A23:C23"/>
    <mergeCell ref="D9:E9"/>
    <mergeCell ref="D10:E10"/>
    <mergeCell ref="D11:E11"/>
    <mergeCell ref="D12:E12"/>
    <mergeCell ref="B24:C24"/>
    <mergeCell ref="E24:F24"/>
    <mergeCell ref="G24:H24"/>
    <mergeCell ref="I24:J24"/>
    <mergeCell ref="N24:O24"/>
    <mergeCell ref="E25:F25"/>
    <mergeCell ref="N25:O25"/>
    <mergeCell ref="N26:O26"/>
    <mergeCell ref="N27:O27"/>
    <mergeCell ref="B25:C25"/>
    <mergeCell ref="B26:C26"/>
    <mergeCell ref="E26:F26"/>
    <mergeCell ref="G26:H26"/>
    <mergeCell ref="I26:J26"/>
    <mergeCell ref="B27:C27"/>
    <mergeCell ref="I27:J27"/>
    <mergeCell ref="G25:H25"/>
    <mergeCell ref="I25:J25"/>
    <mergeCell ref="E27:F27"/>
    <mergeCell ref="G27:H27"/>
    <mergeCell ref="S28:X29"/>
    <mergeCell ref="E29:F29"/>
    <mergeCell ref="G29:H29"/>
    <mergeCell ref="I29:J29"/>
    <mergeCell ref="N29:O29"/>
    <mergeCell ref="I31:J31"/>
    <mergeCell ref="S31:X33"/>
    <mergeCell ref="G32:H32"/>
    <mergeCell ref="I32:J32"/>
    <mergeCell ref="J33:L33"/>
    <mergeCell ref="N30:O30"/>
    <mergeCell ref="N31:O31"/>
    <mergeCell ref="L34:N34"/>
    <mergeCell ref="G28:H28"/>
    <mergeCell ref="I28:J28"/>
    <mergeCell ref="B29:C29"/>
    <mergeCell ref="B30:C30"/>
    <mergeCell ref="E30:F30"/>
    <mergeCell ref="G30:H30"/>
    <mergeCell ref="I30:J30"/>
    <mergeCell ref="B31:C31"/>
    <mergeCell ref="E31:F31"/>
    <mergeCell ref="G31:H31"/>
    <mergeCell ref="A46:D46"/>
    <mergeCell ref="E46:G46"/>
    <mergeCell ref="A37:D37"/>
    <mergeCell ref="E37:G37"/>
    <mergeCell ref="H37:J37"/>
    <mergeCell ref="A38:D38"/>
    <mergeCell ref="E38:G38"/>
    <mergeCell ref="H38:I38"/>
    <mergeCell ref="A39:D39"/>
    <mergeCell ref="E39:G39"/>
    <mergeCell ref="H39:I39"/>
    <mergeCell ref="A44:D44"/>
    <mergeCell ref="E44:G44"/>
    <mergeCell ref="H44:I44"/>
    <mergeCell ref="A45:D45"/>
    <mergeCell ref="E45:G45"/>
    <mergeCell ref="I53:J53"/>
    <mergeCell ref="M53:O53"/>
    <mergeCell ref="M54:O54"/>
    <mergeCell ref="P54:Q54"/>
    <mergeCell ref="A52:C52"/>
    <mergeCell ref="D52:F52"/>
    <mergeCell ref="G52:H52"/>
    <mergeCell ref="I52:J52"/>
    <mergeCell ref="K52:L52"/>
    <mergeCell ref="P52:Q52"/>
    <mergeCell ref="B53:C53"/>
    <mergeCell ref="P53:Q53"/>
    <mergeCell ref="E53:F53"/>
    <mergeCell ref="G53:H53"/>
    <mergeCell ref="B54:C54"/>
    <mergeCell ref="E54:F54"/>
    <mergeCell ref="G54:H54"/>
    <mergeCell ref="I54:J54"/>
    <mergeCell ref="E59:F59"/>
    <mergeCell ref="G59:H59"/>
    <mergeCell ref="E55:F55"/>
    <mergeCell ref="G55:H55"/>
    <mergeCell ref="M62:O62"/>
    <mergeCell ref="M63:O63"/>
    <mergeCell ref="P63:Q63"/>
    <mergeCell ref="M58:O58"/>
    <mergeCell ref="M59:O59"/>
    <mergeCell ref="M60:O60"/>
    <mergeCell ref="P60:Q60"/>
    <mergeCell ref="M61:O61"/>
    <mergeCell ref="P61:Q61"/>
    <mergeCell ref="P62:Q62"/>
    <mergeCell ref="P57:Q57"/>
    <mergeCell ref="B55:C55"/>
    <mergeCell ref="B56:C56"/>
    <mergeCell ref="G56:H56"/>
    <mergeCell ref="I56:J56"/>
    <mergeCell ref="M56:O56"/>
    <mergeCell ref="P56:Q56"/>
    <mergeCell ref="B57:C57"/>
    <mergeCell ref="B58:C58"/>
    <mergeCell ref="E58:F58"/>
    <mergeCell ref="G58:H58"/>
    <mergeCell ref="I58:J58"/>
    <mergeCell ref="P58:Q58"/>
    <mergeCell ref="M55:O55"/>
    <mergeCell ref="P55:Q55"/>
    <mergeCell ref="M57:O57"/>
    <mergeCell ref="I55:J55"/>
    <mergeCell ref="E56:F56"/>
    <mergeCell ref="E57:F57"/>
    <mergeCell ref="G57:H57"/>
    <mergeCell ref="I57:J57"/>
    <mergeCell ref="P65:Q65"/>
    <mergeCell ref="G66:H66"/>
    <mergeCell ref="I66:J66"/>
    <mergeCell ref="P66:Q66"/>
    <mergeCell ref="B60:C60"/>
    <mergeCell ref="E60:F60"/>
    <mergeCell ref="G60:H60"/>
    <mergeCell ref="I60:J60"/>
    <mergeCell ref="I61:J61"/>
    <mergeCell ref="E61:F61"/>
    <mergeCell ref="G61:H61"/>
    <mergeCell ref="E62:F62"/>
    <mergeCell ref="G62:H62"/>
    <mergeCell ref="I62:J62"/>
    <mergeCell ref="B63:C63"/>
    <mergeCell ref="B64:C64"/>
    <mergeCell ref="B65:C65"/>
    <mergeCell ref="B66:C66"/>
    <mergeCell ref="M65:O65"/>
    <mergeCell ref="M66:O66"/>
    <mergeCell ref="E65:F65"/>
    <mergeCell ref="G65:H65"/>
    <mergeCell ref="I65:J65"/>
    <mergeCell ref="L8:Q8"/>
    <mergeCell ref="B67:C67"/>
    <mergeCell ref="B68:C68"/>
    <mergeCell ref="E63:F63"/>
    <mergeCell ref="E64:F64"/>
    <mergeCell ref="G64:H64"/>
    <mergeCell ref="I64:J64"/>
    <mergeCell ref="M64:O64"/>
    <mergeCell ref="P64:Q64"/>
    <mergeCell ref="G68:H68"/>
    <mergeCell ref="I68:J68"/>
    <mergeCell ref="G63:H63"/>
    <mergeCell ref="I63:J63"/>
    <mergeCell ref="E66:F66"/>
    <mergeCell ref="E67:F67"/>
    <mergeCell ref="G67:H67"/>
    <mergeCell ref="I67:J67"/>
    <mergeCell ref="M67:O67"/>
    <mergeCell ref="P67:Q67"/>
    <mergeCell ref="B59:C59"/>
    <mergeCell ref="I59:J59"/>
    <mergeCell ref="P59:Q59"/>
    <mergeCell ref="B61:C61"/>
    <mergeCell ref="B62:C62"/>
  </mergeCells>
  <dataValidations count="4">
    <dataValidation type="list" allowBlank="1" showInputMessage="1" showErrorMessage="1" prompt="X or nothing" sqref="H153" xr:uid="{00000000-0002-0000-0200-000000000000}">
      <formula1>"X"</formula1>
    </dataValidation>
    <dataValidation type="list" allowBlank="1" showErrorMessage="1" sqref="D14" xr:uid="{00000000-0002-0000-0200-000001000000}">
      <formula1>"English,Deutsch"</formula1>
    </dataValidation>
    <dataValidation type="list" allowBlank="1" showInputMessage="1" showErrorMessage="1" prompt="Y or N" sqref="N11 Q101" xr:uid="{00000000-0002-0000-0200-000002000000}">
      <formula1>"Y,N"</formula1>
    </dataValidation>
    <dataValidation type="list" allowBlank="1" showInputMessage="1" showErrorMessage="1" prompt="&lt;=4 , 6 , 8,10  or 12" sqref="G101" xr:uid="{00000000-0002-0000-0200-000003000000}">
      <formula1>"4,6,8,10,12"</formula1>
    </dataValidation>
  </dataValidations>
  <pageMargins left="0.70866141732283472" right="0.70866141732283472" top="0.78740157480314965" bottom="0.78740157480314965" header="0" footer="0"/>
  <pageSetup paperSize="9" scale="88" orientation="portrait" r:id="rId1"/>
  <headerFooter>
    <oddFooter>&amp;L&amp;F&amp;CPage &amp;P / &amp;R&amp;D</oddFooter>
  </headerFooter>
  <rowBreaks count="2" manualBreakCount="2">
    <brk id="69" max="16" man="1"/>
    <brk id="118" max="16"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Z1000"/>
  <sheetViews>
    <sheetView view="pageBreakPreview" zoomScale="106" zoomScaleNormal="100" zoomScaleSheetLayoutView="106" workbookViewId="0">
      <selection activeCell="N18" sqref="N18"/>
    </sheetView>
  </sheetViews>
  <sheetFormatPr defaultColWidth="12.5703125" defaultRowHeight="15" customHeight="1"/>
  <cols>
    <col min="1" max="1" width="5.28515625" customWidth="1"/>
    <col min="2" max="2" width="6.28515625" customWidth="1"/>
    <col min="3" max="4" width="5.85546875" customWidth="1"/>
    <col min="5" max="5" width="8.85546875" customWidth="1"/>
    <col min="6" max="6" width="5.7109375" customWidth="1"/>
    <col min="7" max="7" width="6.28515625" customWidth="1"/>
    <col min="8" max="8" width="6.5703125" customWidth="1"/>
    <col min="9" max="9" width="5.140625" customWidth="1"/>
    <col min="10" max="10" width="7.140625" customWidth="1"/>
    <col min="11" max="11" width="6.5703125" customWidth="1"/>
    <col min="12" max="12" width="4.42578125" customWidth="1"/>
    <col min="13" max="14" width="3.85546875" customWidth="1"/>
    <col min="15" max="15" width="4" customWidth="1"/>
    <col min="16" max="17" width="3.7109375" customWidth="1"/>
    <col min="18" max="26" width="9.140625" customWidth="1"/>
  </cols>
  <sheetData>
    <row r="1" spans="1:26" ht="23.1" customHeight="1">
      <c r="A1" s="206"/>
      <c r="B1" s="206"/>
      <c r="C1" s="206"/>
      <c r="D1" s="206"/>
      <c r="E1" s="206"/>
      <c r="F1" s="206"/>
      <c r="G1" s="1"/>
      <c r="H1" s="1"/>
      <c r="I1" s="1"/>
      <c r="J1" s="1"/>
      <c r="K1" s="1"/>
      <c r="L1" s="1"/>
      <c r="M1" s="1"/>
      <c r="N1" s="1"/>
      <c r="O1" s="1"/>
      <c r="P1" s="1"/>
      <c r="Q1" s="191" t="str">
        <f>IF($D$13="English","Test Report - Single Range &lt; 10 kg","Test Report - Einbereich &lt; 10 kg")</f>
        <v>Test Report - Single Range &lt; 10 kg</v>
      </c>
      <c r="R1" s="1"/>
      <c r="S1" s="1"/>
      <c r="T1" s="1"/>
      <c r="U1" s="1"/>
      <c r="V1" s="1"/>
      <c r="W1" s="1"/>
      <c r="X1" s="1"/>
      <c r="Y1" s="1"/>
      <c r="Z1" s="1"/>
    </row>
    <row r="2" spans="1:26" ht="12" customHeight="1">
      <c r="A2" s="206"/>
      <c r="B2" s="206"/>
      <c r="C2" s="206"/>
      <c r="D2" s="206"/>
      <c r="E2" s="206"/>
      <c r="F2" s="206"/>
      <c r="G2" s="1"/>
      <c r="H2" s="1"/>
      <c r="I2" s="1"/>
      <c r="J2" s="1"/>
      <c r="K2" s="1"/>
      <c r="L2" s="1"/>
      <c r="M2" s="1"/>
      <c r="N2" s="1"/>
      <c r="O2" s="1"/>
      <c r="P2" s="1"/>
      <c r="Q2" s="4"/>
      <c r="R2" s="1"/>
      <c r="S2" s="1"/>
      <c r="T2" s="1"/>
      <c r="U2" s="1"/>
      <c r="V2" s="1"/>
      <c r="W2" s="1"/>
      <c r="X2" s="1"/>
      <c r="Y2" s="1"/>
      <c r="Z2" s="1"/>
    </row>
    <row r="3" spans="1:26" ht="12" customHeight="1">
      <c r="A3" s="207"/>
      <c r="B3" s="207"/>
      <c r="C3" s="207"/>
      <c r="D3" s="207"/>
      <c r="E3" s="207"/>
      <c r="F3" s="207"/>
      <c r="G3" s="1"/>
      <c r="H3" s="1"/>
      <c r="I3" s="1"/>
      <c r="J3" s="1" t="str">
        <f>IF($D$13="English","Accuracy Class","Genauigkeitsklasse")</f>
        <v>Accuracy Class</v>
      </c>
      <c r="K3" s="1"/>
      <c r="L3" s="1"/>
      <c r="M3" s="1" t="s">
        <v>4</v>
      </c>
      <c r="N3" s="1"/>
      <c r="O3" s="4"/>
      <c r="P3" s="5"/>
      <c r="Q3" s="4"/>
      <c r="R3" s="1"/>
      <c r="S3" s="1"/>
      <c r="T3" s="1"/>
      <c r="U3" s="1"/>
      <c r="V3" s="1"/>
      <c r="W3" s="1"/>
      <c r="X3" s="1"/>
      <c r="Y3" s="1"/>
      <c r="Z3" s="1"/>
    </row>
    <row r="4" spans="1:26" ht="12" customHeight="1">
      <c r="A4" s="209"/>
      <c r="B4" s="209"/>
      <c r="C4" s="209"/>
      <c r="D4" s="208"/>
      <c r="E4" s="208"/>
      <c r="F4" s="208"/>
      <c r="G4" s="1"/>
      <c r="H4" s="1"/>
      <c r="I4" s="1"/>
      <c r="J4" s="1"/>
      <c r="K4" s="1"/>
      <c r="L4" s="1"/>
      <c r="M4" s="1"/>
      <c r="N4" s="1"/>
      <c r="O4" s="1"/>
      <c r="P4" s="6"/>
      <c r="Q4" s="1"/>
      <c r="R4" s="1"/>
      <c r="S4" s="1"/>
      <c r="T4" s="1"/>
      <c r="U4" s="1"/>
      <c r="V4" s="1"/>
      <c r="W4" s="1"/>
      <c r="X4" s="1"/>
      <c r="Y4" s="1"/>
      <c r="Z4" s="1"/>
    </row>
    <row r="5" spans="1:26" ht="12" customHeight="1">
      <c r="A5" s="5"/>
      <c r="B5" s="1"/>
      <c r="C5" s="1"/>
      <c r="D5" s="1"/>
      <c r="E5" s="1"/>
      <c r="F5" s="1"/>
      <c r="G5" s="1"/>
      <c r="H5" s="1"/>
      <c r="I5" s="1"/>
      <c r="J5" s="1"/>
      <c r="K5" s="9" t="str">
        <f>IF($D$13="English","Test Date:","Testdatum")</f>
        <v>Test Date:</v>
      </c>
      <c r="L5" s="243"/>
      <c r="M5" s="215"/>
      <c r="N5" s="215"/>
      <c r="O5" s="215"/>
      <c r="P5" s="215"/>
      <c r="Q5" s="216"/>
      <c r="R5" s="1"/>
      <c r="S5" s="1"/>
      <c r="T5" s="1"/>
      <c r="U5" s="1"/>
      <c r="V5" s="1"/>
      <c r="W5" s="1"/>
      <c r="X5" s="1"/>
      <c r="Y5" s="1"/>
      <c r="Z5" s="1"/>
    </row>
    <row r="6" spans="1:26" ht="12" customHeight="1">
      <c r="A6" s="1"/>
      <c r="B6" s="1"/>
      <c r="C6" s="9" t="str">
        <f>IF($D$13="English","Part No.:","Modell Nr.")</f>
        <v>Part No.:</v>
      </c>
      <c r="D6" s="275"/>
      <c r="E6" s="215"/>
      <c r="F6" s="215"/>
      <c r="G6" s="215"/>
      <c r="H6" s="216"/>
      <c r="I6" s="1"/>
      <c r="J6" s="1"/>
      <c r="K6" s="9" t="str">
        <f>IF($D$13="English","Test Officer:","RVO")</f>
        <v>Test Officer:</v>
      </c>
      <c r="L6" s="214"/>
      <c r="M6" s="215"/>
      <c r="N6" s="215"/>
      <c r="O6" s="215"/>
      <c r="P6" s="215"/>
      <c r="Q6" s="216"/>
      <c r="R6" s="1"/>
      <c r="S6" s="1"/>
      <c r="T6" s="1"/>
      <c r="U6" s="1"/>
      <c r="V6" s="1"/>
      <c r="W6" s="1"/>
      <c r="X6" s="1"/>
      <c r="Y6" s="1"/>
      <c r="Z6" s="1"/>
    </row>
    <row r="7" spans="1:26" ht="12" customHeight="1">
      <c r="A7" s="1"/>
      <c r="B7" s="1"/>
      <c r="G7" s="1"/>
      <c r="H7" s="1"/>
      <c r="I7" s="1"/>
      <c r="J7" s="1"/>
      <c r="K7" s="9" t="str">
        <f>IF($D$13="English","Scale No.","Waagen S/N.")</f>
        <v>Scale No.</v>
      </c>
      <c r="L7" s="214"/>
      <c r="M7" s="215"/>
      <c r="N7" s="215"/>
      <c r="O7" s="215"/>
      <c r="P7" s="215"/>
      <c r="Q7" s="216"/>
      <c r="R7" s="1"/>
      <c r="S7" s="1"/>
      <c r="T7" s="1"/>
      <c r="U7" s="1"/>
      <c r="V7" s="1"/>
      <c r="W7" s="1"/>
      <c r="X7" s="1"/>
      <c r="Y7" s="1"/>
      <c r="Z7" s="1"/>
    </row>
    <row r="8" spans="1:26" ht="12" customHeight="1">
      <c r="A8" s="1"/>
      <c r="B8" s="1"/>
      <c r="G8" s="1"/>
      <c r="H8" s="1"/>
      <c r="I8" s="1"/>
      <c r="J8" s="1"/>
      <c r="K8" s="9" t="str">
        <f>IF($D$13="English","Indicator S/N.","Waagen S/N.")</f>
        <v>Indicator S/N.</v>
      </c>
      <c r="L8" s="214"/>
      <c r="M8" s="215"/>
      <c r="N8" s="215"/>
      <c r="O8" s="215"/>
      <c r="P8" s="215"/>
      <c r="Q8" s="216"/>
      <c r="R8" s="1"/>
      <c r="S8" s="1"/>
      <c r="T8" s="1"/>
      <c r="U8" s="1"/>
      <c r="V8" s="1"/>
      <c r="W8" s="1"/>
      <c r="X8" s="1"/>
      <c r="Y8" s="1"/>
      <c r="Z8" s="1"/>
    </row>
    <row r="9" spans="1:26" ht="12" customHeight="1">
      <c r="A9" s="1"/>
      <c r="B9" s="1"/>
      <c r="C9" s="6" t="s">
        <v>98</v>
      </c>
      <c r="D9" s="303"/>
      <c r="E9" s="216"/>
      <c r="F9" s="1" t="s">
        <v>11</v>
      </c>
      <c r="G9" s="1"/>
      <c r="H9" s="1"/>
      <c r="I9" s="1"/>
      <c r="J9" s="1"/>
      <c r="K9" s="9" t="str">
        <f>IF($D$13="English","TAC(Type Approval Certificate) Indicator","Bauartzulassung Wägeelektronik")</f>
        <v>TAC(Type Approval Certificate) Indicator</v>
      </c>
      <c r="L9" s="214"/>
      <c r="M9" s="215"/>
      <c r="N9" s="215"/>
      <c r="O9" s="215"/>
      <c r="P9" s="215"/>
      <c r="Q9" s="216"/>
      <c r="R9" s="1"/>
      <c r="S9" s="1"/>
      <c r="T9" s="1"/>
      <c r="U9" s="1"/>
      <c r="V9" s="1"/>
      <c r="W9" s="1"/>
      <c r="X9" s="1"/>
      <c r="Y9" s="1"/>
      <c r="Z9" s="1"/>
    </row>
    <row r="10" spans="1:26" ht="12" customHeight="1">
      <c r="A10" s="1"/>
      <c r="B10" s="1"/>
      <c r="C10" s="6" t="s">
        <v>99</v>
      </c>
      <c r="D10" s="303"/>
      <c r="E10" s="216"/>
      <c r="F10" s="1" t="s">
        <v>11</v>
      </c>
      <c r="G10" s="1"/>
      <c r="H10" s="1"/>
      <c r="I10" s="1"/>
      <c r="J10" s="1"/>
      <c r="K10" s="9" t="str">
        <f>IF($D$13="English","Firmware type and version:","Wägeelektronik Programm und Version")</f>
        <v>Firmware type and version:</v>
      </c>
      <c r="L10" s="214"/>
      <c r="M10" s="215"/>
      <c r="N10" s="215"/>
      <c r="O10" s="215"/>
      <c r="P10" s="215"/>
      <c r="Q10" s="216"/>
      <c r="R10" s="1"/>
      <c r="S10" s="1"/>
      <c r="T10" s="1"/>
      <c r="U10" s="1"/>
      <c r="V10" s="1"/>
      <c r="W10" s="1"/>
      <c r="X10" s="1"/>
      <c r="Y10" s="1"/>
      <c r="Z10" s="1"/>
    </row>
    <row r="11" spans="1:26" ht="12" customHeight="1">
      <c r="A11" s="1"/>
      <c r="B11" s="1"/>
      <c r="C11" s="6"/>
      <c r="D11" s="1"/>
      <c r="E11" s="1"/>
      <c r="F11" s="1"/>
      <c r="G11" s="1"/>
      <c r="H11" s="1"/>
      <c r="I11" s="1"/>
      <c r="J11" s="6"/>
      <c r="K11" s="6"/>
      <c r="L11" s="1"/>
      <c r="M11" s="120" t="str">
        <f>IF($D$13="English","Test Weight Calibrations Current?","Standardgewichte kalibriert?")</f>
        <v>Test Weight Calibrations Current?</v>
      </c>
      <c r="N11" s="181"/>
      <c r="O11" s="1"/>
      <c r="P11" s="1"/>
      <c r="Q11" s="1"/>
      <c r="R11" s="1"/>
      <c r="S11" s="1"/>
      <c r="T11" s="1"/>
      <c r="U11" s="1"/>
      <c r="V11" s="1"/>
      <c r="W11" s="1"/>
      <c r="X11" s="1"/>
      <c r="Y11" s="1"/>
      <c r="Z11" s="1"/>
    </row>
    <row r="12" spans="1:26" ht="12" customHeight="1">
      <c r="A12" s="1"/>
      <c r="B12" s="1"/>
      <c r="C12" s="1"/>
      <c r="D12" s="1"/>
      <c r="E12" s="1"/>
      <c r="F12" s="1"/>
      <c r="G12" s="1"/>
      <c r="H12" s="1"/>
      <c r="K12" s="9" t="str">
        <f>IF($D$13="English","Set-No. of Standard-Weights in use","Set-Nr. der Standardgewichte")</f>
        <v>Set-No. of Standard-Weights in use</v>
      </c>
      <c r="L12" s="247"/>
      <c r="M12" s="248"/>
      <c r="N12" s="248"/>
      <c r="O12" s="248"/>
      <c r="P12" s="248"/>
      <c r="Q12" s="249"/>
      <c r="R12" s="1"/>
      <c r="S12" s="1"/>
      <c r="T12" s="1"/>
      <c r="U12" s="1"/>
      <c r="V12" s="1"/>
      <c r="W12" s="1"/>
      <c r="X12" s="1"/>
      <c r="Y12" s="1"/>
      <c r="Z12" s="1"/>
    </row>
    <row r="13" spans="1:26" ht="12" customHeight="1">
      <c r="A13" s="14" t="s">
        <v>19</v>
      </c>
      <c r="B13" s="1"/>
      <c r="C13" s="1"/>
      <c r="D13" s="174" t="s">
        <v>0</v>
      </c>
      <c r="E13" s="1"/>
      <c r="F13" s="1"/>
      <c r="G13" s="1"/>
      <c r="H13" s="1"/>
      <c r="L13" s="250"/>
      <c r="M13" s="251"/>
      <c r="N13" s="251"/>
      <c r="O13" s="251"/>
      <c r="P13" s="251"/>
      <c r="Q13" s="252"/>
      <c r="R13" s="1"/>
      <c r="S13" s="1"/>
      <c r="T13" s="1"/>
      <c r="U13" s="1"/>
      <c r="V13" s="1"/>
      <c r="W13" s="1"/>
      <c r="X13" s="1"/>
      <c r="Y13" s="1"/>
      <c r="Z13" s="1"/>
    </row>
    <row r="14" spans="1:26" ht="12" customHeight="1">
      <c r="A14" s="14"/>
      <c r="B14" s="1"/>
      <c r="C14" s="1"/>
      <c r="D14" s="16"/>
      <c r="E14" s="1"/>
      <c r="F14" s="1"/>
      <c r="G14" s="1"/>
      <c r="H14" s="1"/>
      <c r="K14" s="9" t="str">
        <f>IF($D$13="English","Set-No. Small Weights in use","Set-Nr. der kleinen Gewichte")</f>
        <v>Set-No. Small Weights in use</v>
      </c>
      <c r="L14" s="247"/>
      <c r="M14" s="248"/>
      <c r="N14" s="248"/>
      <c r="O14" s="248"/>
      <c r="P14" s="248"/>
      <c r="Q14" s="249"/>
      <c r="R14" s="1"/>
      <c r="S14" s="1"/>
      <c r="T14" s="1"/>
      <c r="U14" s="1"/>
      <c r="V14" s="1"/>
      <c r="W14" s="1"/>
      <c r="X14" s="1"/>
      <c r="Y14" s="1"/>
      <c r="Z14" s="1"/>
    </row>
    <row r="15" spans="1:26" ht="12" customHeight="1">
      <c r="A15" s="14"/>
      <c r="B15" s="1"/>
      <c r="C15" s="1"/>
      <c r="D15" s="16"/>
      <c r="E15" s="1"/>
      <c r="F15" s="1"/>
      <c r="G15" s="1"/>
      <c r="H15" s="1"/>
      <c r="K15" s="1"/>
      <c r="L15" s="250"/>
      <c r="M15" s="251"/>
      <c r="N15" s="251"/>
      <c r="O15" s="251"/>
      <c r="P15" s="251"/>
      <c r="Q15" s="252"/>
      <c r="R15" s="1"/>
      <c r="S15" s="1"/>
      <c r="T15" s="1"/>
      <c r="U15" s="1"/>
      <c r="V15" s="1"/>
      <c r="W15" s="1"/>
      <c r="X15" s="1"/>
      <c r="Y15" s="1"/>
      <c r="Z15" s="1"/>
    </row>
    <row r="16" spans="1:26" ht="17.25" customHeight="1">
      <c r="A16" s="7" t="str">
        <f>IF($D$13="English","Load Cell","Wägezelle")</f>
        <v>Load Cell</v>
      </c>
      <c r="B16" s="1"/>
      <c r="C16" s="1" t="str">
        <f>IF($D$13="English","Manufacturer","Hersteller")</f>
        <v>Manufacturer</v>
      </c>
      <c r="D16" s="6"/>
      <c r="E16" s="240"/>
      <c r="F16" s="215"/>
      <c r="G16" s="215"/>
      <c r="H16" s="216"/>
      <c r="I16" s="1" t="s">
        <v>22</v>
      </c>
      <c r="J16" s="253"/>
      <c r="K16" s="216"/>
      <c r="L16" s="1" t="str">
        <f>IF($D$13="English","Total number:","Gesamtanzahl:")</f>
        <v>Total number:</v>
      </c>
      <c r="M16" s="6"/>
      <c r="N16" s="6"/>
      <c r="O16" s="1"/>
      <c r="P16" s="301"/>
      <c r="Q16" s="302"/>
      <c r="R16" s="1"/>
      <c r="S16" s="1"/>
      <c r="T16" s="1"/>
      <c r="U16" s="1"/>
      <c r="V16" s="1"/>
      <c r="W16" s="1"/>
      <c r="X16" s="1"/>
      <c r="Y16" s="1"/>
      <c r="Z16" s="1"/>
    </row>
    <row r="17" spans="1:26" ht="12" customHeight="1">
      <c r="A17" s="1"/>
      <c r="B17" s="1"/>
      <c r="C17" s="1"/>
      <c r="D17" s="1"/>
      <c r="E17" s="1"/>
      <c r="F17" s="1"/>
      <c r="G17" s="6"/>
      <c r="J17" s="17"/>
      <c r="K17" s="1"/>
      <c r="L17" s="1"/>
      <c r="M17" s="1"/>
      <c r="N17" s="1"/>
      <c r="O17" s="1"/>
      <c r="P17" s="1"/>
      <c r="Q17" s="1"/>
      <c r="R17" s="1"/>
      <c r="S17" s="1"/>
      <c r="T17" s="1"/>
      <c r="U17" s="1"/>
      <c r="V17" s="1"/>
      <c r="W17" s="1"/>
      <c r="X17" s="1"/>
      <c r="Y17" s="1"/>
      <c r="Z17" s="1"/>
    </row>
    <row r="18" spans="1:26" ht="12" customHeight="1">
      <c r="A18" s="7" t="str">
        <f>IF($D$13="English","1. Repeatability Test (indicator in hi-res mode):","1. Prüfung der Wiederholbarkeit (Indikator in Hi-Res-Modus):")</f>
        <v>1. Repeatability Test (indicator in hi-res mode):</v>
      </c>
      <c r="B18" s="1"/>
      <c r="C18" s="6"/>
      <c r="D18" s="8"/>
      <c r="E18" s="8"/>
      <c r="F18" s="1"/>
      <c r="G18" s="1"/>
      <c r="H18" s="1" t="str">
        <f>IF($D$13="English","accordance to EN45501-2015, A.4.10","gemäß EN45501-2015, A.4.10")</f>
        <v>accordance to EN45501-2015, A.4.10</v>
      </c>
      <c r="I18" s="1"/>
      <c r="J18" s="1"/>
      <c r="K18" s="6"/>
      <c r="L18" s="6"/>
      <c r="M18" s="6"/>
      <c r="N18" s="1"/>
      <c r="O18" s="1"/>
      <c r="P18" s="1"/>
      <c r="Q18" s="1"/>
      <c r="R18" s="1"/>
      <c r="S18" s="1"/>
      <c r="T18" s="1"/>
      <c r="U18" s="1"/>
      <c r="V18" s="1"/>
      <c r="W18" s="1"/>
      <c r="X18" s="1"/>
      <c r="Y18" s="1"/>
      <c r="Z18" s="1"/>
    </row>
    <row r="19" spans="1:26" ht="12" customHeight="1">
      <c r="A19" s="1" t="str">
        <f>IF($D$13="English","* The zero tracking device may be in operation for the repeatability test.","* Die Nullnachführung darf bei der Prüfung der Wiederholbarkeit eingeschaltet sein")</f>
        <v>* The zero tracking device may be in operation for the repeatability test.</v>
      </c>
      <c r="B19" s="1"/>
      <c r="C19" s="6"/>
      <c r="D19" s="8"/>
      <c r="E19" s="8"/>
      <c r="F19" s="1"/>
      <c r="G19" s="1"/>
      <c r="H19" s="1"/>
      <c r="I19" s="1"/>
      <c r="J19" s="1"/>
      <c r="K19" s="6"/>
      <c r="L19" s="6"/>
      <c r="M19" s="6"/>
      <c r="N19" s="1"/>
      <c r="O19" s="1"/>
      <c r="P19" s="1"/>
      <c r="Q19" s="1"/>
      <c r="R19" s="1"/>
      <c r="S19" s="1"/>
      <c r="T19" s="1"/>
      <c r="U19" s="1"/>
      <c r="V19" s="1"/>
      <c r="W19" s="1"/>
      <c r="X19" s="1"/>
      <c r="Y19" s="1"/>
      <c r="Z19" s="1"/>
    </row>
    <row r="20" spans="1:26" ht="12.75" customHeight="1">
      <c r="A20" s="234" t="str">
        <f>IF($D$13="English","load must be about","ungefähre Last")</f>
        <v>load must be about</v>
      </c>
      <c r="B20" s="223"/>
      <c r="C20" s="220"/>
      <c r="D20" s="231" t="s">
        <v>26</v>
      </c>
      <c r="E20" s="223"/>
      <c r="F20" s="220"/>
      <c r="G20" s="231" t="s">
        <v>27</v>
      </c>
      <c r="H20" s="220"/>
      <c r="I20" s="231" t="s">
        <v>28</v>
      </c>
      <c r="J20" s="220"/>
      <c r="K20" s="231" t="s">
        <v>29</v>
      </c>
      <c r="L20" s="220"/>
      <c r="M20" s="19" t="s">
        <v>30</v>
      </c>
      <c r="N20" s="13"/>
      <c r="O20" s="13"/>
      <c r="P20" s="1"/>
      <c r="Q20" s="1"/>
      <c r="R20" s="88"/>
      <c r="S20" s="1"/>
    </row>
    <row r="21" spans="1:26" ht="12" customHeight="1">
      <c r="A21" s="19" t="s">
        <v>32</v>
      </c>
      <c r="B21" s="239" t="s">
        <v>33</v>
      </c>
      <c r="C21" s="220"/>
      <c r="D21" s="19" t="s">
        <v>32</v>
      </c>
      <c r="E21" s="239" t="s">
        <v>33</v>
      </c>
      <c r="F21" s="220"/>
      <c r="G21" s="231" t="s">
        <v>33</v>
      </c>
      <c r="H21" s="220"/>
      <c r="I21" s="231" t="s">
        <v>33</v>
      </c>
      <c r="J21" s="223"/>
      <c r="K21" s="19" t="s">
        <v>33</v>
      </c>
      <c r="L21" s="21" t="s">
        <v>32</v>
      </c>
      <c r="M21" s="19" t="s">
        <v>34</v>
      </c>
      <c r="N21" s="13"/>
      <c r="O21" s="13"/>
      <c r="P21" s="1"/>
      <c r="Q21" s="1"/>
      <c r="R21" s="1"/>
      <c r="S21" s="1"/>
    </row>
    <row r="22" spans="1:26" ht="12" customHeight="1">
      <c r="A22" s="24" t="str">
        <f t="shared" ref="A22:A24" si="0">IF($D$10=0," ",$D$9/$D$10*0.8)</f>
        <v xml:space="preserve"> </v>
      </c>
      <c r="B22" s="299">
        <f t="shared" ref="B22:B24" si="1">$D$9*0.8</f>
        <v>0</v>
      </c>
      <c r="C22" s="220"/>
      <c r="D22" s="38" t="str">
        <f t="shared" ref="D22:D24" si="2">IF($D$10=0," ",E22/$D$10)</f>
        <v xml:space="preserve"> </v>
      </c>
      <c r="E22" s="229"/>
      <c r="F22" s="216"/>
      <c r="G22" s="229"/>
      <c r="H22" s="216"/>
      <c r="I22" s="221" t="str">
        <f t="shared" ref="I22:I24" si="3">IF(G22=0," ",ABS(G22-E22))</f>
        <v xml:space="preserve"> </v>
      </c>
      <c r="J22" s="220"/>
      <c r="K22" s="25">
        <f t="shared" ref="K22:K25" si="4">L22*$D$10</f>
        <v>0</v>
      </c>
      <c r="L22" s="26">
        <f t="shared" ref="L22:L24" si="5">IF(D22=" ",0,IF(D22&lt;=500,0.5,(IF(D22&lt;=2000,1,IF(D22&gt;2000,1.5," ")))))</f>
        <v>0</v>
      </c>
      <c r="M22" s="27" t="str">
        <f t="shared" ref="M22:M25" si="6">IF(I22&lt;=K22,"Y","N")</f>
        <v>N</v>
      </c>
      <c r="N22" s="1"/>
      <c r="O22" s="1"/>
      <c r="P22" s="1"/>
      <c r="Q22" s="1"/>
      <c r="R22" s="1"/>
      <c r="S22" s="1"/>
      <c r="T22" s="1"/>
      <c r="U22" s="1"/>
      <c r="V22" s="1"/>
      <c r="W22" s="1"/>
      <c r="X22" s="1"/>
      <c r="Y22" s="1"/>
      <c r="Z22" s="1"/>
    </row>
    <row r="23" spans="1:26" ht="12" customHeight="1">
      <c r="A23" s="24" t="str">
        <f t="shared" si="0"/>
        <v xml:space="preserve"> </v>
      </c>
      <c r="B23" s="299">
        <f t="shared" si="1"/>
        <v>0</v>
      </c>
      <c r="C23" s="220"/>
      <c r="D23" s="38" t="str">
        <f t="shared" si="2"/>
        <v xml:space="preserve"> </v>
      </c>
      <c r="E23" s="300">
        <f>E22</f>
        <v>0</v>
      </c>
      <c r="F23" s="220"/>
      <c r="G23" s="229"/>
      <c r="H23" s="216"/>
      <c r="I23" s="221" t="str">
        <f t="shared" si="3"/>
        <v xml:space="preserve"> </v>
      </c>
      <c r="J23" s="220"/>
      <c r="K23" s="25">
        <f t="shared" si="4"/>
        <v>0</v>
      </c>
      <c r="L23" s="26">
        <f t="shared" si="5"/>
        <v>0</v>
      </c>
      <c r="M23" s="27" t="str">
        <f t="shared" si="6"/>
        <v>N</v>
      </c>
      <c r="N23" s="1"/>
      <c r="O23" s="1"/>
      <c r="P23" s="180"/>
      <c r="Q23" s="1"/>
      <c r="R23" s="1"/>
      <c r="S23" s="1"/>
      <c r="T23" s="1"/>
      <c r="U23" s="1"/>
      <c r="V23" s="1"/>
      <c r="W23" s="1"/>
      <c r="X23" s="1"/>
      <c r="Y23" s="1"/>
      <c r="Z23" s="1"/>
    </row>
    <row r="24" spans="1:26" ht="12" customHeight="1">
      <c r="A24" s="24" t="str">
        <f t="shared" si="0"/>
        <v xml:space="preserve"> </v>
      </c>
      <c r="B24" s="299">
        <f t="shared" si="1"/>
        <v>0</v>
      </c>
      <c r="C24" s="220"/>
      <c r="D24" s="38" t="str">
        <f t="shared" si="2"/>
        <v xml:space="preserve"> </v>
      </c>
      <c r="E24" s="300">
        <f>E22</f>
        <v>0</v>
      </c>
      <c r="F24" s="220"/>
      <c r="G24" s="229"/>
      <c r="H24" s="216"/>
      <c r="I24" s="221" t="str">
        <f t="shared" si="3"/>
        <v xml:space="preserve"> </v>
      </c>
      <c r="J24" s="220"/>
      <c r="K24" s="25">
        <f t="shared" si="4"/>
        <v>0</v>
      </c>
      <c r="L24" s="26">
        <f t="shared" si="5"/>
        <v>0</v>
      </c>
      <c r="M24" s="27" t="str">
        <f t="shared" si="6"/>
        <v>N</v>
      </c>
      <c r="N24" s="1"/>
      <c r="O24" s="1"/>
      <c r="P24" s="1"/>
      <c r="Q24" s="1"/>
      <c r="R24" s="1"/>
      <c r="S24" s="1"/>
      <c r="T24" s="1"/>
      <c r="U24" s="1"/>
      <c r="V24" s="1"/>
      <c r="W24" s="1"/>
      <c r="X24" s="1"/>
      <c r="Y24" s="1"/>
      <c r="Z24" s="1"/>
    </row>
    <row r="25" spans="1:26" ht="12" customHeight="1">
      <c r="A25" s="28"/>
      <c r="B25" s="121"/>
      <c r="C25" s="122"/>
      <c r="D25" s="53"/>
      <c r="E25" s="123"/>
      <c r="F25" s="124"/>
      <c r="G25" s="231" t="s">
        <v>100</v>
      </c>
      <c r="H25" s="220"/>
      <c r="I25" s="221">
        <f>IF(G22=0,0,ROUND((MAX(G22:H24)-MIN(G22:H24)),4))</f>
        <v>0</v>
      </c>
      <c r="J25" s="220"/>
      <c r="K25" s="25">
        <f t="shared" si="4"/>
        <v>0</v>
      </c>
      <c r="L25" s="26">
        <f>IF(OR(D22=" ",D23=" ",D24=" "),0,IF(AND(D22&lt;=500,D23&lt;=500,D24&lt;=500),0.5,(IF(AND(D22&lt;=2000,D23&lt;=2000,D24&lt;=2000),1,IF(AND(D22&gt;2000,D23&gt;2000,D24&gt;2000),1.5," ")))))</f>
        <v>0</v>
      </c>
      <c r="M25" s="27" t="str">
        <f t="shared" si="6"/>
        <v>Y</v>
      </c>
      <c r="N25" s="1"/>
      <c r="O25" s="1"/>
      <c r="P25" s="1"/>
      <c r="Q25" s="1"/>
      <c r="R25" s="1"/>
      <c r="S25" s="1"/>
      <c r="T25" s="1"/>
      <c r="U25" s="1"/>
      <c r="V25" s="1"/>
      <c r="W25" s="1"/>
      <c r="X25" s="1"/>
      <c r="Y25" s="1"/>
      <c r="Z25" s="1"/>
    </row>
    <row r="26" spans="1:26" ht="12" customHeight="1">
      <c r="A26" s="1"/>
      <c r="B26" s="1"/>
      <c r="C26" s="1"/>
      <c r="D26" s="1"/>
      <c r="E26" s="1"/>
      <c r="F26" s="1"/>
      <c r="G26" s="1"/>
      <c r="H26" s="1"/>
      <c r="I26" s="1"/>
      <c r="J26" s="224" t="str">
        <f>IF($D$13="English","Test passed?","Test bestanden?")</f>
        <v>Test passed?</v>
      </c>
      <c r="K26" s="225"/>
      <c r="L26" s="226"/>
      <c r="M26" s="27" t="str">
        <f>IF(AND(M22="Y",M23="Y",M24="Y",M25="Y"),"Y","N")</f>
        <v>N</v>
      </c>
      <c r="N26" s="1"/>
      <c r="O26" s="1"/>
      <c r="P26" s="1"/>
      <c r="Q26" s="1"/>
      <c r="R26" s="1"/>
      <c r="S26" s="1"/>
      <c r="T26" s="1"/>
      <c r="U26" s="1"/>
      <c r="V26" s="1"/>
      <c r="W26" s="1"/>
      <c r="X26" s="1"/>
      <c r="Y26" s="1"/>
      <c r="Z26" s="1"/>
    </row>
    <row r="27" spans="1:26" ht="12" customHeight="1">
      <c r="A27" s="1"/>
      <c r="B27" s="1"/>
      <c r="C27" s="1"/>
      <c r="D27" s="1"/>
      <c r="E27" s="1"/>
      <c r="F27" s="1"/>
      <c r="G27" s="1"/>
      <c r="H27" s="1"/>
      <c r="I27" s="1"/>
      <c r="J27" s="6"/>
      <c r="M27" s="125"/>
      <c r="N27" s="1"/>
      <c r="O27" s="1"/>
      <c r="P27" s="1"/>
      <c r="Q27" s="1"/>
      <c r="R27" s="1"/>
      <c r="S27" s="1"/>
      <c r="T27" s="1"/>
      <c r="U27" s="1"/>
      <c r="V27" s="1"/>
      <c r="W27" s="1"/>
      <c r="X27" s="1"/>
      <c r="Y27" s="1"/>
      <c r="Z27" s="1"/>
    </row>
    <row r="28" spans="1:26" ht="15.75" customHeight="1">
      <c r="A28" s="7" t="str">
        <f>IF($D$13="English","2.  Accuracy of Zero Device (hi-res mode: off):","2.  Prüfung der Genauigkeit der Nullstellung (Hi-Res-Modus aus):")</f>
        <v>2.  Accuracy of Zero Device (hi-res mode: off):</v>
      </c>
      <c r="B28" s="1"/>
      <c r="C28" s="1"/>
      <c r="D28" s="1"/>
      <c r="E28" s="1"/>
      <c r="F28" s="1"/>
      <c r="G28" s="1"/>
      <c r="H28" s="1" t="str">
        <f>IF($D$13="English","accordance to EN45501-2015, A.4.2.3","gemäß EN45501-2015, A.4.2.3")</f>
        <v>accordance to EN45501-2015, A.4.2.3</v>
      </c>
      <c r="I28" s="1"/>
      <c r="J28" s="1"/>
      <c r="K28" s="1"/>
      <c r="L28" s="30"/>
      <c r="M28" s="1"/>
      <c r="N28" s="1"/>
      <c r="O28" s="1"/>
      <c r="P28" s="1"/>
      <c r="Q28" s="1"/>
      <c r="R28" s="1"/>
      <c r="S28" s="1"/>
      <c r="T28" s="1"/>
      <c r="U28" s="1"/>
      <c r="V28" s="1"/>
      <c r="W28" s="1"/>
      <c r="X28" s="1"/>
      <c r="Y28" s="1"/>
      <c r="Z28" s="1"/>
    </row>
    <row r="29" spans="1:26" ht="12" customHeight="1">
      <c r="A29" s="231" t="s">
        <v>48</v>
      </c>
      <c r="B29" s="223"/>
      <c r="C29" s="223"/>
      <c r="D29" s="220"/>
      <c r="E29" s="231" t="s">
        <v>49</v>
      </c>
      <c r="F29" s="223"/>
      <c r="G29" s="220"/>
      <c r="H29" s="231" t="s">
        <v>29</v>
      </c>
      <c r="I29" s="220"/>
      <c r="J29" s="19" t="s">
        <v>30</v>
      </c>
      <c r="K29" s="30"/>
      <c r="L29" s="1"/>
      <c r="M29" s="1"/>
      <c r="N29" s="1"/>
      <c r="O29" s="1"/>
      <c r="P29" s="1"/>
      <c r="Q29" s="1"/>
      <c r="R29" s="1"/>
      <c r="S29" s="1"/>
      <c r="T29" s="1"/>
      <c r="U29" s="1"/>
      <c r="V29" s="1"/>
      <c r="W29" s="1"/>
      <c r="X29" s="1"/>
      <c r="Y29" s="1"/>
      <c r="Z29" s="1"/>
    </row>
    <row r="30" spans="1:26" ht="12.75" customHeight="1">
      <c r="A30" s="231" t="s">
        <v>33</v>
      </c>
      <c r="B30" s="223"/>
      <c r="C30" s="223"/>
      <c r="D30" s="220"/>
      <c r="E30" s="231" t="s">
        <v>33</v>
      </c>
      <c r="F30" s="223"/>
      <c r="G30" s="220"/>
      <c r="H30" s="19" t="s">
        <v>33</v>
      </c>
      <c r="I30" s="21" t="s">
        <v>32</v>
      </c>
      <c r="J30" s="19" t="s">
        <v>34</v>
      </c>
      <c r="K30" s="30"/>
      <c r="L30" s="1"/>
      <c r="M30" s="1"/>
      <c r="N30" s="1"/>
      <c r="O30" s="1"/>
      <c r="P30" s="1"/>
      <c r="Q30" s="1"/>
      <c r="R30" s="1"/>
      <c r="S30" s="1"/>
      <c r="T30" s="1"/>
      <c r="U30" s="1"/>
      <c r="V30" s="1"/>
      <c r="W30" s="1"/>
      <c r="X30" s="1"/>
      <c r="Y30" s="1"/>
      <c r="Z30" s="1"/>
    </row>
    <row r="31" spans="1:26" ht="12" customHeight="1">
      <c r="A31" s="233"/>
      <c r="B31" s="215"/>
      <c r="C31" s="215"/>
      <c r="D31" s="216"/>
      <c r="E31" s="221">
        <f>0.5*$D$10-$A$31</f>
        <v>0</v>
      </c>
      <c r="F31" s="223"/>
      <c r="G31" s="220"/>
      <c r="H31" s="35">
        <f>I31*$D$10</f>
        <v>0</v>
      </c>
      <c r="I31" s="36">
        <v>0.25</v>
      </c>
      <c r="J31" s="27" t="str">
        <f>IF(D31=" ","N",IF(H31&gt;=ABS($E31),"Y","N"))</f>
        <v>Y</v>
      </c>
      <c r="K31" s="28"/>
      <c r="R31" s="1"/>
      <c r="S31" s="1"/>
      <c r="T31" s="1"/>
      <c r="U31" s="1"/>
      <c r="V31" s="1"/>
      <c r="W31" s="1"/>
      <c r="X31" s="1"/>
      <c r="Y31" s="1"/>
      <c r="Z31" s="1"/>
    </row>
    <row r="32" spans="1:26" ht="12" customHeight="1">
      <c r="A32" s="7"/>
      <c r="B32" s="7"/>
      <c r="C32" s="1"/>
      <c r="D32" s="1"/>
      <c r="E32" s="1"/>
      <c r="F32" s="1"/>
      <c r="G32" s="1"/>
      <c r="H32" s="1"/>
      <c r="I32" s="6" t="str">
        <f>IF($D$13="English","Test passed?","Test bestanden?")</f>
        <v>Test passed?</v>
      </c>
      <c r="J32" s="27" t="str">
        <f>IF(J31="Y","Y","N")</f>
        <v>Y</v>
      </c>
      <c r="K32" s="1"/>
      <c r="R32" s="1"/>
      <c r="S32" s="1"/>
      <c r="T32" s="1"/>
      <c r="U32" s="1"/>
      <c r="V32" s="1"/>
      <c r="W32" s="1"/>
      <c r="X32" s="1"/>
      <c r="Y32" s="1"/>
      <c r="Z32" s="1"/>
    </row>
    <row r="33" spans="1:26" ht="12" customHeight="1">
      <c r="A33" s="7"/>
      <c r="B33" s="1"/>
      <c r="C33" s="1"/>
      <c r="D33" s="1"/>
      <c r="E33" s="1"/>
      <c r="F33" s="1"/>
      <c r="G33" s="1"/>
      <c r="H33" s="1"/>
      <c r="I33" s="1"/>
      <c r="J33" s="1"/>
      <c r="K33" s="1"/>
      <c r="L33" s="30"/>
      <c r="M33" s="1"/>
      <c r="R33" s="1"/>
      <c r="S33" s="1"/>
      <c r="T33" s="1"/>
      <c r="U33" s="1"/>
      <c r="V33" s="1"/>
      <c r="W33" s="1"/>
      <c r="X33" s="1"/>
      <c r="Y33" s="1"/>
      <c r="Z33" s="1"/>
    </row>
    <row r="34" spans="1:26" ht="12" customHeight="1">
      <c r="A34" s="7" t="str">
        <f>IF($D$13="English","3.  Accuracy of Tare Device  (hi-res mode: off):","3.  Genauigkeit der Tarierung  (Hi-Res-Modus: aus):")</f>
        <v>3.  Accuracy of Tare Device  (hi-res mode: off):</v>
      </c>
      <c r="B34" s="31"/>
      <c r="C34" s="32"/>
      <c r="D34" s="1"/>
      <c r="E34" s="1"/>
      <c r="F34" s="1"/>
      <c r="G34" s="1" t="str">
        <f>IF($D$13="English","accordance to EN45501-2015, A.4.6.2","gemäß EN45501-2015, A.4.6.2")</f>
        <v>accordance to EN45501-2015, A.4.6.2</v>
      </c>
      <c r="H34" s="1"/>
      <c r="J34" s="17"/>
      <c r="K34" s="1"/>
      <c r="L34" s="1"/>
      <c r="M34" s="33" t="s">
        <v>50</v>
      </c>
      <c r="O34" s="34"/>
      <c r="R34" s="1"/>
      <c r="S34" s="1"/>
      <c r="T34" s="1"/>
      <c r="U34" s="1"/>
      <c r="V34" s="1"/>
      <c r="W34" s="1"/>
      <c r="X34" s="1"/>
      <c r="Y34" s="1"/>
      <c r="Z34" s="1"/>
    </row>
    <row r="35" spans="1:26" ht="12" customHeight="1">
      <c r="A35" s="1"/>
      <c r="B35" s="31"/>
      <c r="C35" s="32"/>
      <c r="D35" s="1"/>
      <c r="E35" s="1"/>
      <c r="F35" s="1"/>
      <c r="G35" s="6"/>
      <c r="H35" s="1"/>
      <c r="J35" s="17"/>
      <c r="K35" s="1"/>
      <c r="L35" s="1"/>
      <c r="M35" s="1"/>
      <c r="N35" s="1"/>
      <c r="O35" s="1"/>
      <c r="P35" s="1"/>
      <c r="Q35" s="1"/>
      <c r="R35" s="1"/>
      <c r="S35" s="1"/>
      <c r="T35" s="1"/>
      <c r="U35" s="1"/>
      <c r="V35" s="1"/>
      <c r="W35" s="1"/>
      <c r="X35" s="1"/>
      <c r="Y35" s="1"/>
      <c r="Z35" s="1"/>
    </row>
    <row r="36" spans="1:26" ht="12" customHeight="1">
      <c r="A36" s="231" t="s">
        <v>48</v>
      </c>
      <c r="B36" s="223"/>
      <c r="C36" s="223"/>
      <c r="D36" s="220"/>
      <c r="E36" s="231" t="s">
        <v>51</v>
      </c>
      <c r="F36" s="223"/>
      <c r="G36" s="220"/>
      <c r="H36" s="231" t="s">
        <v>29</v>
      </c>
      <c r="I36" s="220"/>
      <c r="J36" s="19" t="s">
        <v>30</v>
      </c>
      <c r="K36" s="1"/>
      <c r="L36" s="1"/>
      <c r="M36" s="1"/>
      <c r="N36" s="1"/>
      <c r="O36" s="1"/>
      <c r="P36" s="1"/>
      <c r="Q36" s="1"/>
      <c r="R36" s="1"/>
      <c r="S36" s="1"/>
      <c r="T36" s="1"/>
      <c r="U36" s="1"/>
      <c r="V36" s="1"/>
      <c r="W36" s="1"/>
      <c r="X36" s="1"/>
      <c r="Y36" s="1"/>
      <c r="Z36" s="1"/>
    </row>
    <row r="37" spans="1:26" ht="12" customHeight="1">
      <c r="A37" s="231" t="s">
        <v>33</v>
      </c>
      <c r="B37" s="223"/>
      <c r="C37" s="223"/>
      <c r="D37" s="220"/>
      <c r="E37" s="231" t="s">
        <v>33</v>
      </c>
      <c r="F37" s="223"/>
      <c r="G37" s="220"/>
      <c r="H37" s="19" t="s">
        <v>33</v>
      </c>
      <c r="I37" s="21" t="s">
        <v>32</v>
      </c>
      <c r="J37" s="19" t="s">
        <v>34</v>
      </c>
      <c r="K37" s="1"/>
      <c r="L37" s="1"/>
      <c r="M37" s="1"/>
      <c r="N37" s="1"/>
      <c r="O37" s="1"/>
      <c r="P37" s="1"/>
      <c r="Q37" s="1"/>
      <c r="R37" s="1"/>
      <c r="S37" s="1"/>
      <c r="T37" s="1"/>
      <c r="U37" s="1"/>
      <c r="V37" s="1"/>
      <c r="W37" s="1"/>
      <c r="X37" s="1"/>
      <c r="Y37" s="1"/>
      <c r="Z37" s="1"/>
    </row>
    <row r="38" spans="1:26" ht="12" customHeight="1">
      <c r="A38" s="233"/>
      <c r="B38" s="215"/>
      <c r="C38" s="215"/>
      <c r="D38" s="216"/>
      <c r="E38" s="221" t="str">
        <f>IF(A38=0," ",0.5*$D$10-$A$38)</f>
        <v xml:space="preserve"> </v>
      </c>
      <c r="F38" s="223"/>
      <c r="G38" s="220"/>
      <c r="H38" s="35">
        <f>I38*$D$10</f>
        <v>0</v>
      </c>
      <c r="I38" s="36">
        <v>0.25</v>
      </c>
      <c r="J38" s="27" t="str">
        <f>IF(A38=0," ",IF(H38&gt;=ABS($E38),"Y","N"))</f>
        <v xml:space="preserve"> </v>
      </c>
      <c r="K38" s="1"/>
      <c r="L38" s="1"/>
      <c r="M38" s="1"/>
      <c r="N38" s="1"/>
      <c r="O38" s="1"/>
      <c r="P38" s="1"/>
      <c r="Q38" s="1"/>
      <c r="R38" s="1"/>
      <c r="S38" s="1"/>
      <c r="T38" s="1"/>
      <c r="U38" s="1"/>
      <c r="V38" s="1"/>
      <c r="W38" s="1"/>
      <c r="X38" s="1"/>
      <c r="Y38" s="1"/>
      <c r="Z38" s="1"/>
    </row>
    <row r="39" spans="1:26" ht="12" customHeight="1">
      <c r="A39" s="7"/>
      <c r="B39" s="7"/>
      <c r="C39" s="1"/>
      <c r="D39" s="1"/>
      <c r="E39" s="1"/>
      <c r="F39" s="1"/>
      <c r="G39" s="1"/>
      <c r="H39" s="1"/>
      <c r="I39" s="6" t="str">
        <f>IF($D$13="English","Test passed?","Test bestanden?")</f>
        <v>Test passed?</v>
      </c>
      <c r="J39" s="27" t="str">
        <f>IF(J38="Y","Y","N")</f>
        <v>N</v>
      </c>
      <c r="K39" s="1"/>
      <c r="L39" s="1"/>
      <c r="M39" s="1"/>
      <c r="N39" s="1"/>
      <c r="O39" s="1"/>
      <c r="P39" s="1"/>
      <c r="Q39" s="1"/>
      <c r="R39" s="1"/>
      <c r="S39" s="1"/>
      <c r="T39" s="1"/>
      <c r="U39" s="1"/>
      <c r="V39" s="1"/>
      <c r="W39" s="1"/>
      <c r="X39" s="1"/>
      <c r="Y39" s="1"/>
      <c r="Z39" s="1"/>
    </row>
    <row r="40" spans="1:26" ht="12" customHeight="1">
      <c r="A40" s="1"/>
      <c r="B40" s="1"/>
      <c r="C40" s="1"/>
      <c r="D40" s="1"/>
      <c r="E40" s="1"/>
      <c r="F40" s="1"/>
      <c r="G40" s="6"/>
      <c r="J40" s="17"/>
      <c r="K40" s="1"/>
      <c r="L40" s="1"/>
      <c r="M40" s="1"/>
      <c r="N40" s="1"/>
      <c r="O40" s="1"/>
      <c r="P40" s="1"/>
      <c r="Q40" s="1"/>
      <c r="R40" s="1"/>
      <c r="S40" s="1"/>
      <c r="T40" s="1"/>
      <c r="U40" s="1"/>
      <c r="V40" s="1"/>
      <c r="W40" s="1"/>
      <c r="X40" s="1"/>
      <c r="Y40" s="1"/>
      <c r="Z40" s="1"/>
    </row>
    <row r="41" spans="1:26" ht="12" customHeight="1">
      <c r="A41" s="297" t="str">
        <f>IF($D$13="English","4.  Weighing / Linearity Test (Indicator in hi-res mode):","4. Prüfung der Richtigkeit mit Normallast (Indikator in Hi-Res-Modus):")</f>
        <v>4.  Weighing / Linearity Test (Indicator in hi-res mode):</v>
      </c>
      <c r="B41" s="237"/>
      <c r="C41" s="237"/>
      <c r="D41" s="237"/>
      <c r="E41" s="237"/>
      <c r="F41" s="237"/>
      <c r="G41" s="237"/>
      <c r="H41" s="237"/>
      <c r="I41" s="1"/>
      <c r="J41" s="14"/>
      <c r="K41" s="1"/>
      <c r="L41" s="1"/>
      <c r="M41" s="6"/>
      <c r="N41" s="1"/>
      <c r="O41" s="1"/>
      <c r="P41" s="1"/>
      <c r="Q41" s="1"/>
      <c r="R41" s="1"/>
      <c r="S41" s="1"/>
      <c r="T41" s="1"/>
      <c r="U41" s="1"/>
      <c r="V41" s="1"/>
      <c r="W41" s="1"/>
      <c r="X41" s="1"/>
      <c r="Y41" s="1"/>
      <c r="Z41" s="1"/>
    </row>
    <row r="42" spans="1:26" ht="12" customHeight="1">
      <c r="A42" s="298"/>
      <c r="B42" s="298"/>
      <c r="C42" s="298"/>
      <c r="D42" s="298"/>
      <c r="E42" s="298"/>
      <c r="F42" s="298"/>
      <c r="G42" s="298"/>
      <c r="H42" s="298"/>
      <c r="I42" s="1" t="str">
        <f>IF($D$13="English","accordance to EN45501-2015, A.4.4.1","gemäß EN45501-2015, A.4.4.1")</f>
        <v>accordance to EN45501-2015, A.4.4.1</v>
      </c>
      <c r="J42" s="14"/>
      <c r="K42" s="1"/>
      <c r="L42" s="1"/>
      <c r="M42" s="6"/>
      <c r="N42" s="1"/>
      <c r="O42" s="1"/>
      <c r="P42" s="1"/>
      <c r="Q42" s="1"/>
      <c r="R42" s="1"/>
      <c r="S42" s="1"/>
      <c r="T42" s="1"/>
      <c r="U42" s="1"/>
      <c r="V42" s="1"/>
      <c r="W42" s="1"/>
      <c r="X42" s="1"/>
      <c r="Y42" s="1"/>
      <c r="Z42" s="1"/>
    </row>
    <row r="43" spans="1:26" ht="12" customHeight="1">
      <c r="A43" s="234" t="str">
        <f>IF($D$13="English","load must be about","ungefähre Last")</f>
        <v>load must be about</v>
      </c>
      <c r="B43" s="223"/>
      <c r="C43" s="220"/>
      <c r="D43" s="231" t="s">
        <v>26</v>
      </c>
      <c r="E43" s="223"/>
      <c r="F43" s="220"/>
      <c r="G43" s="231" t="s">
        <v>27</v>
      </c>
      <c r="H43" s="220"/>
      <c r="I43" s="231" t="s">
        <v>101</v>
      </c>
      <c r="J43" s="220"/>
      <c r="K43" s="231" t="s">
        <v>29</v>
      </c>
      <c r="L43" s="220"/>
      <c r="M43" s="232" t="s">
        <v>102</v>
      </c>
      <c r="N43" s="223"/>
      <c r="O43" s="220"/>
      <c r="P43" s="19" t="s">
        <v>30</v>
      </c>
      <c r="Q43" s="1"/>
      <c r="R43" s="1"/>
      <c r="S43" s="1"/>
      <c r="T43" s="1"/>
      <c r="U43" s="1"/>
      <c r="V43" s="1"/>
      <c r="W43" s="1"/>
      <c r="X43" s="1"/>
      <c r="Y43" s="1"/>
      <c r="Z43" s="1"/>
    </row>
    <row r="44" spans="1:26" ht="12" customHeight="1">
      <c r="A44" s="19" t="s">
        <v>32</v>
      </c>
      <c r="B44" s="239" t="s">
        <v>33</v>
      </c>
      <c r="C44" s="220"/>
      <c r="D44" s="19" t="s">
        <v>32</v>
      </c>
      <c r="E44" s="239" t="s">
        <v>33</v>
      </c>
      <c r="F44" s="220"/>
      <c r="G44" s="231" t="s">
        <v>33</v>
      </c>
      <c r="H44" s="220"/>
      <c r="I44" s="231" t="s">
        <v>33</v>
      </c>
      <c r="J44" s="223"/>
      <c r="K44" s="19" t="s">
        <v>33</v>
      </c>
      <c r="L44" s="21" t="s">
        <v>32</v>
      </c>
      <c r="M44" s="231" t="s">
        <v>33</v>
      </c>
      <c r="N44" s="223"/>
      <c r="O44" s="223"/>
      <c r="P44" s="19" t="s">
        <v>34</v>
      </c>
      <c r="Q44" s="1"/>
      <c r="R44" s="1"/>
      <c r="S44" s="1"/>
      <c r="T44" s="1"/>
      <c r="U44" s="1"/>
      <c r="V44" s="1"/>
      <c r="W44" s="1"/>
      <c r="X44" s="1"/>
      <c r="Y44" s="1"/>
      <c r="Z44" s="1"/>
    </row>
    <row r="45" spans="1:26" ht="12" customHeight="1">
      <c r="A45" s="38">
        <v>20</v>
      </c>
      <c r="B45" s="299">
        <f>A45*$D$10</f>
        <v>0</v>
      </c>
      <c r="C45" s="220"/>
      <c r="D45" s="24" t="str">
        <f t="shared" ref="D45:D53" si="7">IF($D$10=0,"-",E45/$D$10)</f>
        <v>-</v>
      </c>
      <c r="E45" s="229"/>
      <c r="F45" s="216"/>
      <c r="G45" s="229"/>
      <c r="H45" s="216"/>
      <c r="I45" s="221" t="str">
        <f t="shared" ref="I45:I53" si="8">IF(G45=0," ",(G45-E45))</f>
        <v xml:space="preserve"> </v>
      </c>
      <c r="J45" s="220"/>
      <c r="K45" s="25">
        <f t="shared" ref="K45:K53" si="9">IF(L45=" "," ",L45*$D$10)</f>
        <v>0</v>
      </c>
      <c r="L45" s="26">
        <f t="shared" ref="L45:L53" si="10">IF(D45&lt;=500,0.5,(IF(D45&lt;=2000,1,IF(D45&gt;2000,1.5," "))))</f>
        <v>1.5</v>
      </c>
      <c r="M45" s="221" t="str">
        <f t="shared" ref="M45:M53" si="11">IF(E45=0," ",IF($E$31=" "," ",ROUND(I45-$E$31,4)))</f>
        <v xml:space="preserve"> </v>
      </c>
      <c r="N45" s="223"/>
      <c r="O45" s="220"/>
      <c r="P45" s="27" t="str">
        <f t="shared" ref="P45:P53" si="12">IF(M45=" "," ",IF(ABS(M45)&lt;=K45,"Y","N"))</f>
        <v xml:space="preserve"> </v>
      </c>
      <c r="Q45" s="1"/>
      <c r="R45" s="1"/>
      <c r="S45" s="1"/>
      <c r="T45" s="1"/>
      <c r="U45" s="1"/>
      <c r="V45" s="1"/>
      <c r="W45" s="1"/>
      <c r="X45" s="1"/>
      <c r="Y45" s="1"/>
      <c r="Z45" s="1"/>
    </row>
    <row r="46" spans="1:26" ht="12" customHeight="1">
      <c r="A46" s="24" t="str">
        <f>IF($D$10=0,"-",IF($D$9/$D$10=500,100,IF($D$9/$D$10&lt;=1000,100,IF($D$9/$D$10&lt;=2000,200,500))))</f>
        <v>-</v>
      </c>
      <c r="B46" s="299" t="str">
        <f t="shared" ref="B46:B52" si="13">IF($D$10=0," ",A46*$D$10)</f>
        <v xml:space="preserve"> </v>
      </c>
      <c r="C46" s="220"/>
      <c r="D46" s="24" t="str">
        <f t="shared" si="7"/>
        <v>-</v>
      </c>
      <c r="E46" s="229"/>
      <c r="F46" s="216"/>
      <c r="G46" s="229"/>
      <c r="H46" s="216"/>
      <c r="I46" s="221" t="str">
        <f t="shared" si="8"/>
        <v xml:space="preserve"> </v>
      </c>
      <c r="J46" s="220"/>
      <c r="K46" s="25">
        <f t="shared" si="9"/>
        <v>0</v>
      </c>
      <c r="L46" s="26">
        <f t="shared" si="10"/>
        <v>1.5</v>
      </c>
      <c r="M46" s="221" t="str">
        <f t="shared" si="11"/>
        <v xml:space="preserve"> </v>
      </c>
      <c r="N46" s="223"/>
      <c r="O46" s="220"/>
      <c r="P46" s="27" t="str">
        <f t="shared" si="12"/>
        <v xml:space="preserve"> </v>
      </c>
      <c r="Q46" s="1"/>
      <c r="R46" s="1"/>
      <c r="S46" s="1"/>
      <c r="T46" s="1"/>
      <c r="U46" s="1"/>
      <c r="V46" s="1"/>
      <c r="W46" s="1"/>
      <c r="X46" s="1"/>
      <c r="Y46" s="1"/>
      <c r="Z46" s="1"/>
    </row>
    <row r="47" spans="1:26" ht="12" customHeight="1">
      <c r="A47" s="24" t="str">
        <f>IF($D$10=0,"-",IF($D$9/$D$10=500,200,IF($D$9/$D$10&lt;=1000,200,IF($D$9/$D$10&lt;=2000,500,1000))))</f>
        <v>-</v>
      </c>
      <c r="B47" s="299" t="str">
        <f t="shared" si="13"/>
        <v xml:space="preserve"> </v>
      </c>
      <c r="C47" s="220"/>
      <c r="D47" s="24" t="str">
        <f t="shared" si="7"/>
        <v>-</v>
      </c>
      <c r="E47" s="229"/>
      <c r="F47" s="216"/>
      <c r="G47" s="229"/>
      <c r="H47" s="216"/>
      <c r="I47" s="221" t="str">
        <f t="shared" si="8"/>
        <v xml:space="preserve"> </v>
      </c>
      <c r="J47" s="220"/>
      <c r="K47" s="25">
        <f t="shared" si="9"/>
        <v>0</v>
      </c>
      <c r="L47" s="26">
        <f t="shared" si="10"/>
        <v>1.5</v>
      </c>
      <c r="M47" s="221" t="str">
        <f t="shared" si="11"/>
        <v xml:space="preserve"> </v>
      </c>
      <c r="N47" s="223"/>
      <c r="O47" s="220"/>
      <c r="P47" s="27" t="str">
        <f t="shared" si="12"/>
        <v xml:space="preserve"> </v>
      </c>
      <c r="Q47" s="1"/>
      <c r="R47" s="1"/>
      <c r="S47" s="1"/>
      <c r="T47" s="1"/>
      <c r="U47" s="1"/>
      <c r="V47" s="1"/>
      <c r="W47" s="1"/>
      <c r="X47" s="1"/>
      <c r="Y47" s="1"/>
      <c r="Z47" s="1"/>
    </row>
    <row r="48" spans="1:26" ht="12" customHeight="1">
      <c r="A48" s="24" t="str">
        <f>IF($D$10=0,"-",IF($D$9/$D$10=500,300,IF($D$9/$D$10&lt;=1000,500,IF($D$9/$D$10&lt;=2000,1000,2000))))</f>
        <v>-</v>
      </c>
      <c r="B48" s="299" t="str">
        <f t="shared" si="13"/>
        <v xml:space="preserve"> </v>
      </c>
      <c r="C48" s="220"/>
      <c r="D48" s="24" t="str">
        <f t="shared" si="7"/>
        <v>-</v>
      </c>
      <c r="E48" s="229"/>
      <c r="F48" s="216"/>
      <c r="G48" s="229"/>
      <c r="H48" s="216"/>
      <c r="I48" s="221" t="str">
        <f t="shared" si="8"/>
        <v xml:space="preserve"> </v>
      </c>
      <c r="J48" s="220"/>
      <c r="K48" s="25">
        <f t="shared" si="9"/>
        <v>0</v>
      </c>
      <c r="L48" s="26">
        <f t="shared" si="10"/>
        <v>1.5</v>
      </c>
      <c r="M48" s="221" t="str">
        <f t="shared" si="11"/>
        <v xml:space="preserve"> </v>
      </c>
      <c r="N48" s="223"/>
      <c r="O48" s="220"/>
      <c r="P48" s="27" t="str">
        <f t="shared" si="12"/>
        <v xml:space="preserve"> </v>
      </c>
      <c r="Q48" s="1"/>
      <c r="R48" s="1"/>
      <c r="S48" s="1"/>
      <c r="T48" s="1"/>
      <c r="U48" s="1"/>
      <c r="V48" s="1"/>
      <c r="W48" s="1"/>
      <c r="X48" s="1"/>
      <c r="Y48" s="1"/>
      <c r="Z48" s="1"/>
    </row>
    <row r="49" spans="1:26" ht="12" customHeight="1">
      <c r="A49" s="24" t="str">
        <f>IF($D$10=0,"-",$D$9/$D$10)</f>
        <v>-</v>
      </c>
      <c r="B49" s="299" t="str">
        <f t="shared" si="13"/>
        <v xml:space="preserve"> </v>
      </c>
      <c r="C49" s="220"/>
      <c r="D49" s="24" t="str">
        <f t="shared" si="7"/>
        <v>-</v>
      </c>
      <c r="E49" s="229"/>
      <c r="F49" s="216"/>
      <c r="G49" s="229"/>
      <c r="H49" s="216"/>
      <c r="I49" s="221" t="str">
        <f t="shared" si="8"/>
        <v xml:space="preserve"> </v>
      </c>
      <c r="J49" s="220"/>
      <c r="K49" s="25">
        <f t="shared" si="9"/>
        <v>0</v>
      </c>
      <c r="L49" s="26">
        <f t="shared" si="10"/>
        <v>1.5</v>
      </c>
      <c r="M49" s="221" t="str">
        <f t="shared" si="11"/>
        <v xml:space="preserve"> </v>
      </c>
      <c r="N49" s="223"/>
      <c r="O49" s="220"/>
      <c r="P49" s="27" t="str">
        <f t="shared" si="12"/>
        <v xml:space="preserve"> </v>
      </c>
      <c r="Q49" s="1"/>
      <c r="R49" s="1"/>
      <c r="S49" s="1"/>
      <c r="T49" s="1"/>
      <c r="U49" s="1"/>
      <c r="V49" s="1"/>
      <c r="W49" s="1"/>
      <c r="X49" s="1"/>
      <c r="Y49" s="1"/>
      <c r="Z49" s="1"/>
    </row>
    <row r="50" spans="1:26" ht="12" customHeight="1">
      <c r="A50" s="24" t="str">
        <f>IF($D$10=0,"-",IF($D$9/$D$10=500,300,IF($D$9/$D$10&lt;=1000,500,IF($D$9/$D$10&lt;=2000,1000,2000))))</f>
        <v>-</v>
      </c>
      <c r="B50" s="299" t="str">
        <f t="shared" si="13"/>
        <v xml:space="preserve"> </v>
      </c>
      <c r="C50" s="220"/>
      <c r="D50" s="24" t="str">
        <f t="shared" si="7"/>
        <v>-</v>
      </c>
      <c r="E50" s="221">
        <f>E48</f>
        <v>0</v>
      </c>
      <c r="F50" s="220"/>
      <c r="G50" s="229"/>
      <c r="H50" s="216"/>
      <c r="I50" s="221" t="str">
        <f t="shared" si="8"/>
        <v xml:space="preserve"> </v>
      </c>
      <c r="J50" s="220"/>
      <c r="K50" s="25">
        <f t="shared" si="9"/>
        <v>0</v>
      </c>
      <c r="L50" s="26">
        <f t="shared" si="10"/>
        <v>1.5</v>
      </c>
      <c r="M50" s="221" t="str">
        <f t="shared" si="11"/>
        <v xml:space="preserve"> </v>
      </c>
      <c r="N50" s="223"/>
      <c r="O50" s="220"/>
      <c r="P50" s="27" t="str">
        <f t="shared" si="12"/>
        <v xml:space="preserve"> </v>
      </c>
      <c r="Q50" s="1"/>
      <c r="R50" s="1"/>
      <c r="S50" s="1"/>
      <c r="T50" s="1"/>
      <c r="U50" s="1"/>
      <c r="V50" s="1"/>
      <c r="W50" s="1"/>
      <c r="X50" s="1"/>
      <c r="Y50" s="1"/>
      <c r="Z50" s="1"/>
    </row>
    <row r="51" spans="1:26" ht="12" customHeight="1">
      <c r="A51" s="24" t="str">
        <f>IF($D$10=0,"-",IF($D$9/$D$10=500,200,IF($D$9/$D$10&lt;=1000,200,IF($D$9/$D$10&lt;=2000,500,1000))))</f>
        <v>-</v>
      </c>
      <c r="B51" s="299" t="str">
        <f t="shared" si="13"/>
        <v xml:space="preserve"> </v>
      </c>
      <c r="C51" s="220"/>
      <c r="D51" s="24" t="str">
        <f t="shared" si="7"/>
        <v>-</v>
      </c>
      <c r="E51" s="221">
        <f>E47</f>
        <v>0</v>
      </c>
      <c r="F51" s="220"/>
      <c r="G51" s="229"/>
      <c r="H51" s="216"/>
      <c r="I51" s="221" t="str">
        <f t="shared" si="8"/>
        <v xml:space="preserve"> </v>
      </c>
      <c r="J51" s="220"/>
      <c r="K51" s="25">
        <f t="shared" si="9"/>
        <v>0</v>
      </c>
      <c r="L51" s="26">
        <f t="shared" si="10"/>
        <v>1.5</v>
      </c>
      <c r="M51" s="221" t="str">
        <f t="shared" si="11"/>
        <v xml:space="preserve"> </v>
      </c>
      <c r="N51" s="223"/>
      <c r="O51" s="220"/>
      <c r="P51" s="27" t="str">
        <f t="shared" si="12"/>
        <v xml:space="preserve"> </v>
      </c>
      <c r="Q51" s="1"/>
      <c r="R51" s="1"/>
      <c r="S51" s="1"/>
      <c r="T51" s="1"/>
      <c r="U51" s="1"/>
      <c r="V51" s="1"/>
      <c r="W51" s="1"/>
      <c r="X51" s="1"/>
      <c r="Y51" s="1"/>
      <c r="Z51" s="1"/>
    </row>
    <row r="52" spans="1:26" ht="12" customHeight="1">
      <c r="A52" s="24" t="str">
        <f>IF($D$10=0,"-",IF($D$9/$D$10=500,100,IF($D$9/$D$10&lt;=1000,100,IF($D$9/$D$10&lt;=2000,200,500))))</f>
        <v>-</v>
      </c>
      <c r="B52" s="299" t="str">
        <f t="shared" si="13"/>
        <v xml:space="preserve"> </v>
      </c>
      <c r="C52" s="220"/>
      <c r="D52" s="24" t="str">
        <f t="shared" si="7"/>
        <v>-</v>
      </c>
      <c r="E52" s="221">
        <f>E46</f>
        <v>0</v>
      </c>
      <c r="F52" s="220"/>
      <c r="G52" s="229"/>
      <c r="H52" s="216"/>
      <c r="I52" s="221" t="str">
        <f t="shared" si="8"/>
        <v xml:space="preserve"> </v>
      </c>
      <c r="J52" s="220"/>
      <c r="K52" s="25">
        <f t="shared" si="9"/>
        <v>0</v>
      </c>
      <c r="L52" s="26">
        <f t="shared" si="10"/>
        <v>1.5</v>
      </c>
      <c r="M52" s="221" t="str">
        <f t="shared" si="11"/>
        <v xml:space="preserve"> </v>
      </c>
      <c r="N52" s="223"/>
      <c r="O52" s="220"/>
      <c r="P52" s="27" t="str">
        <f t="shared" si="12"/>
        <v xml:space="preserve"> </v>
      </c>
      <c r="Q52" s="1"/>
      <c r="R52" s="1"/>
      <c r="S52" s="1"/>
      <c r="T52" s="1"/>
      <c r="U52" s="1"/>
      <c r="V52" s="1"/>
      <c r="W52" s="1"/>
      <c r="X52" s="1"/>
      <c r="Y52" s="1"/>
      <c r="Z52" s="1"/>
    </row>
    <row r="53" spans="1:26" ht="12" customHeight="1">
      <c r="A53" s="24">
        <v>20</v>
      </c>
      <c r="B53" s="299">
        <f>A53*$D$10</f>
        <v>0</v>
      </c>
      <c r="C53" s="220"/>
      <c r="D53" s="24" t="str">
        <f t="shared" si="7"/>
        <v>-</v>
      </c>
      <c r="E53" s="221">
        <f>E45</f>
        <v>0</v>
      </c>
      <c r="F53" s="220"/>
      <c r="G53" s="229"/>
      <c r="H53" s="216"/>
      <c r="I53" s="221" t="str">
        <f t="shared" si="8"/>
        <v xml:space="preserve"> </v>
      </c>
      <c r="J53" s="220"/>
      <c r="K53" s="25">
        <f t="shared" si="9"/>
        <v>0</v>
      </c>
      <c r="L53" s="26">
        <f t="shared" si="10"/>
        <v>1.5</v>
      </c>
      <c r="M53" s="221" t="str">
        <f t="shared" si="11"/>
        <v xml:space="preserve"> </v>
      </c>
      <c r="N53" s="223"/>
      <c r="O53" s="220"/>
      <c r="P53" s="27" t="str">
        <f t="shared" si="12"/>
        <v xml:space="preserve"> </v>
      </c>
      <c r="Q53" s="1"/>
      <c r="R53" s="1"/>
      <c r="S53" s="1"/>
      <c r="T53" s="1"/>
      <c r="U53" s="1"/>
      <c r="V53" s="1"/>
      <c r="W53" s="1"/>
      <c r="X53" s="1"/>
      <c r="Y53" s="1"/>
      <c r="Z53" s="1"/>
    </row>
    <row r="54" spans="1:26" ht="12" customHeight="1">
      <c r="A54" s="28"/>
      <c r="B54" s="31"/>
      <c r="C54" s="32"/>
      <c r="D54" s="1"/>
      <c r="E54" s="1"/>
      <c r="F54" s="1"/>
      <c r="G54" s="1"/>
      <c r="H54" s="1"/>
      <c r="I54" s="1"/>
      <c r="J54" s="1"/>
      <c r="K54" s="93"/>
      <c r="L54" s="93"/>
      <c r="M54" s="1"/>
      <c r="N54" s="1"/>
      <c r="O54" s="3" t="str">
        <f>IF($D$13="English","Test passed?","Test bestanden?")</f>
        <v>Test passed?</v>
      </c>
      <c r="P54" s="27" t="str">
        <f>IF(AND(P45="Y",P46= "Y", P47="Y",P48="Y",P49="Y",P50="Y",P51="Y",P52="Y",P53="Y"),"Y","N")</f>
        <v>N</v>
      </c>
      <c r="Q54" s="1"/>
      <c r="R54" s="1"/>
      <c r="S54" s="1"/>
      <c r="T54" s="1"/>
      <c r="U54" s="1"/>
      <c r="V54" s="1"/>
      <c r="W54" s="1"/>
      <c r="X54" s="1"/>
      <c r="Y54" s="1"/>
      <c r="Z54" s="1"/>
    </row>
    <row r="55" spans="1:26" ht="12" customHeight="1">
      <c r="A55" s="48"/>
      <c r="B55" s="31"/>
      <c r="C55" s="32"/>
      <c r="D55" s="1"/>
      <c r="E55" s="1"/>
      <c r="F55" s="1"/>
      <c r="G55" s="1"/>
      <c r="H55" s="1"/>
      <c r="I55" s="1"/>
      <c r="J55" s="1"/>
      <c r="M55" s="1"/>
      <c r="N55" s="1"/>
      <c r="O55" s="6"/>
      <c r="P55" s="125"/>
      <c r="Q55" s="1"/>
      <c r="R55" s="1"/>
      <c r="S55" s="1"/>
      <c r="T55" s="1"/>
      <c r="U55" s="1"/>
      <c r="V55" s="1"/>
      <c r="W55" s="1"/>
      <c r="X55" s="1"/>
      <c r="Y55" s="1"/>
      <c r="Z55" s="1"/>
    </row>
    <row r="56" spans="1:26" ht="12" customHeight="1">
      <c r="A56" s="257" t="str">
        <f>IF($D$13="English","If the maximum calculated error in Weighing Test is less or equal to 0,5e, no additional Tare Test has to be performed. ","Wenn der kalkulierte maximale Fehler im Linearitätstest kleiner oder gleich 0,5e ist, muss kein zusätzlich Tara Test durchgeführt werden. ")</f>
        <v xml:space="preserve">If the maximum calculated error in Weighing Test is less or equal to 0,5e, no additional Tare Test has to be performed. </v>
      </c>
      <c r="B56" s="237"/>
      <c r="C56" s="237"/>
      <c r="D56" s="237"/>
      <c r="E56" s="237"/>
      <c r="F56" s="237"/>
      <c r="G56" s="237"/>
      <c r="H56" s="237"/>
      <c r="I56" s="237"/>
      <c r="J56" s="237"/>
      <c r="K56" s="237"/>
      <c r="L56" s="237"/>
      <c r="M56" s="237"/>
      <c r="N56" s="237"/>
      <c r="O56" s="237"/>
      <c r="P56" s="237"/>
      <c r="Q56" s="1"/>
      <c r="R56" s="1"/>
      <c r="S56" s="1"/>
      <c r="T56" s="1"/>
      <c r="U56" s="1"/>
      <c r="V56" s="1"/>
      <c r="W56" s="1"/>
      <c r="X56" s="1"/>
      <c r="Y56" s="1"/>
      <c r="Z56" s="1"/>
    </row>
    <row r="57" spans="1:26" ht="12" customHeight="1">
      <c r="A57" s="237"/>
      <c r="B57" s="237"/>
      <c r="C57" s="237"/>
      <c r="D57" s="237"/>
      <c r="E57" s="237"/>
      <c r="F57" s="237"/>
      <c r="G57" s="237"/>
      <c r="H57" s="237"/>
      <c r="I57" s="237"/>
      <c r="J57" s="237"/>
      <c r="K57" s="237"/>
      <c r="L57" s="237"/>
      <c r="M57" s="237"/>
      <c r="N57" s="237"/>
      <c r="O57" s="237"/>
      <c r="P57" s="237"/>
      <c r="Q57" s="1"/>
      <c r="R57" s="1"/>
      <c r="S57" s="1"/>
      <c r="T57" s="1"/>
      <c r="U57" s="1"/>
      <c r="V57" s="1"/>
      <c r="W57" s="1"/>
      <c r="X57" s="1"/>
      <c r="Y57" s="1"/>
      <c r="Z57" s="1"/>
    </row>
    <row r="58" spans="1:26" ht="12" customHeight="1">
      <c r="A58" s="48" t="str">
        <f>IF($D$13="English","Does Test 5 have to be performed? ","Muss Test 5 durchgeführt werden? ")</f>
        <v xml:space="preserve">Does Test 5 have to be performed? </v>
      </c>
      <c r="B58" s="39"/>
      <c r="C58" s="39"/>
      <c r="D58" s="39"/>
      <c r="E58" s="39"/>
      <c r="F58" s="27" t="e">
        <f>IF(AND(ABS(M45)&lt;=0.5*$D$10,ABS(M46)&lt;=0.5*$D$10,ABS(M47)&lt;=0.5*$D$10,ABS(M48)&lt;=0.5*$D$10,ABS(M49)&lt;=0.5*$D$10,ABS(M50)&lt;=0.5*$D$10,ABS(M51)&lt;=0.5*$D$10,ABS(M52)&lt;=0.5*$D$10,ABS(M53)&lt;=0.5*$D$10),"N","Y")</f>
        <v>#VALUE!</v>
      </c>
      <c r="G58" s="39"/>
      <c r="H58" s="39"/>
      <c r="I58" s="39"/>
      <c r="J58" s="39"/>
      <c r="K58" s="39"/>
      <c r="L58" s="39"/>
      <c r="M58" s="39"/>
      <c r="N58" s="39"/>
      <c r="O58" s="39"/>
      <c r="P58" s="39"/>
      <c r="Q58" s="1"/>
      <c r="R58" s="1"/>
      <c r="S58" s="1"/>
      <c r="T58" s="1"/>
      <c r="U58" s="1"/>
      <c r="V58" s="1"/>
      <c r="W58" s="1"/>
      <c r="X58" s="1"/>
      <c r="Y58" s="1"/>
      <c r="Z58" s="1"/>
    </row>
    <row r="59" spans="1:26" ht="12" customHeight="1">
      <c r="A59" s="39"/>
      <c r="B59" s="39"/>
      <c r="C59" s="39"/>
      <c r="D59" s="39"/>
      <c r="E59" s="39"/>
      <c r="F59" s="39"/>
      <c r="G59" s="39"/>
      <c r="H59" s="39"/>
      <c r="I59" s="39"/>
      <c r="J59" s="39"/>
      <c r="K59" s="39"/>
      <c r="L59" s="39"/>
      <c r="M59" s="39"/>
      <c r="N59" s="39"/>
      <c r="O59" s="39"/>
      <c r="P59" s="39"/>
      <c r="Q59" s="1"/>
      <c r="R59" s="1"/>
      <c r="S59" s="1"/>
      <c r="T59" s="1"/>
      <c r="U59" s="1"/>
      <c r="V59" s="1"/>
      <c r="W59" s="1"/>
      <c r="X59" s="1"/>
      <c r="Y59" s="1"/>
      <c r="Z59" s="1"/>
    </row>
    <row r="60" spans="1:26" ht="12" customHeight="1">
      <c r="A60" s="39"/>
      <c r="B60" s="39"/>
      <c r="C60" s="39"/>
      <c r="D60" s="39"/>
      <c r="E60" s="39"/>
      <c r="F60" s="39"/>
      <c r="G60" s="39"/>
      <c r="H60" s="39"/>
      <c r="I60" s="39"/>
      <c r="J60" s="39"/>
      <c r="K60" s="39"/>
      <c r="L60" s="39"/>
      <c r="M60" s="39"/>
      <c r="N60" s="39"/>
      <c r="O60" s="39"/>
      <c r="P60" s="39"/>
      <c r="Q60" s="1"/>
      <c r="R60" s="1"/>
      <c r="S60" s="1"/>
      <c r="T60" s="1"/>
      <c r="U60" s="1"/>
      <c r="V60" s="1"/>
      <c r="W60" s="1"/>
      <c r="X60" s="1"/>
      <c r="Y60" s="1"/>
      <c r="Z60" s="1"/>
    </row>
    <row r="61" spans="1:26" ht="12" customHeight="1">
      <c r="A61" s="39"/>
      <c r="B61" s="39"/>
      <c r="C61" s="39"/>
      <c r="D61" s="39"/>
      <c r="E61" s="39"/>
      <c r="F61" s="39"/>
      <c r="G61" s="39"/>
      <c r="H61" s="39"/>
      <c r="I61" s="39"/>
      <c r="J61" s="39"/>
      <c r="K61" s="39"/>
      <c r="L61" s="39"/>
      <c r="M61" s="39"/>
      <c r="N61" s="39"/>
      <c r="O61" s="39"/>
      <c r="P61" s="39"/>
      <c r="Q61" s="1"/>
      <c r="R61" s="1"/>
      <c r="S61" s="1"/>
      <c r="T61" s="1"/>
      <c r="U61" s="1"/>
      <c r="V61" s="1"/>
      <c r="W61" s="1"/>
      <c r="X61" s="1"/>
      <c r="Y61" s="1"/>
      <c r="Z61" s="1"/>
    </row>
    <row r="62" spans="1:26" ht="12" customHeight="1">
      <c r="A62" s="39"/>
      <c r="B62" s="39"/>
      <c r="C62" s="39"/>
      <c r="D62" s="39"/>
      <c r="E62" s="39"/>
      <c r="F62" s="39"/>
      <c r="G62" s="39"/>
      <c r="H62" s="39"/>
      <c r="I62" s="39"/>
      <c r="J62" s="39"/>
      <c r="K62" s="39"/>
      <c r="L62" s="39"/>
      <c r="M62" s="39"/>
      <c r="N62" s="39"/>
      <c r="O62" s="39"/>
      <c r="P62" s="39"/>
      <c r="Q62" s="1"/>
      <c r="R62" s="1"/>
      <c r="S62" s="1"/>
      <c r="T62" s="1"/>
      <c r="U62" s="1"/>
      <c r="V62" s="1"/>
      <c r="W62" s="1"/>
      <c r="X62" s="1"/>
      <c r="Y62" s="1"/>
      <c r="Z62" s="1"/>
    </row>
    <row r="63" spans="1:26" ht="12" customHeight="1">
      <c r="A63" s="39"/>
      <c r="B63" s="39"/>
      <c r="C63" s="39"/>
      <c r="D63" s="39"/>
      <c r="E63" s="39"/>
      <c r="F63" s="39"/>
      <c r="G63" s="39"/>
      <c r="H63" s="39"/>
      <c r="I63" s="39"/>
      <c r="J63" s="39"/>
      <c r="K63" s="39"/>
      <c r="L63" s="39"/>
      <c r="M63" s="39"/>
      <c r="N63" s="39"/>
      <c r="O63" s="39"/>
      <c r="P63" s="39"/>
      <c r="Q63" s="1"/>
      <c r="R63" s="1"/>
      <c r="S63" s="1"/>
      <c r="T63" s="1"/>
      <c r="U63" s="1"/>
      <c r="V63" s="1"/>
      <c r="W63" s="1"/>
      <c r="X63" s="1"/>
      <c r="Y63" s="1"/>
      <c r="Z63" s="1"/>
    </row>
    <row r="64" spans="1:26" ht="12" customHeight="1">
      <c r="A64" s="7" t="str">
        <f>IF($D$13="English","5.  Tare (Weighing Test) - Indicator in hi-res mode:","5. Tara (Richtigkeitsprüfung) - Indikator in Hi-Res-Modus:")</f>
        <v>5.  Tare (Weighing Test) - Indicator in hi-res mode:</v>
      </c>
      <c r="B64" s="50"/>
      <c r="C64" s="50"/>
      <c r="D64" s="50"/>
      <c r="E64" s="50"/>
      <c r="F64" s="50"/>
      <c r="G64" s="50"/>
      <c r="H64" s="1" t="str">
        <f>IF($D$13="English","accordance to EN45501-2015, A.4.6.1","gemäß EN45501-2015, A.4.6.1")</f>
        <v>accordance to EN45501-2015, A.4.6.1</v>
      </c>
      <c r="I64" s="50"/>
      <c r="J64" s="50"/>
      <c r="K64" s="50"/>
      <c r="L64" s="50"/>
      <c r="M64" s="50"/>
      <c r="N64" s="50"/>
      <c r="O64" s="50"/>
      <c r="P64" s="50"/>
      <c r="Q64" s="1"/>
      <c r="R64" s="1"/>
      <c r="S64" s="1"/>
      <c r="T64" s="1"/>
      <c r="U64" s="1"/>
      <c r="V64" s="1"/>
      <c r="W64" s="1"/>
      <c r="X64" s="1"/>
      <c r="Y64" s="1"/>
      <c r="Z64" s="1"/>
    </row>
    <row r="65" spans="1:26" ht="12" customHeight="1">
      <c r="A65" s="258" t="str">
        <f>IF($D$13="English","Tare a load between 1/3 Max and 2/3 Max and test up to Max.at 5 load points. Please test at the loads where mpe changes.","Last zwischen 1/3 und 2/3 Max tarieren und bis zur Maximallast bei 5 Lastpunkten prüfen. Bei den Lasten, bei denen sich mpe ändert, muss geprüft werden. ")</f>
        <v>Tare a load between 1/3 Max and 2/3 Max and test up to Max.at 5 load points. Please test at the loads where mpe changes.</v>
      </c>
      <c r="B65" s="237"/>
      <c r="C65" s="237"/>
      <c r="D65" s="237"/>
      <c r="E65" s="237"/>
      <c r="F65" s="237"/>
      <c r="G65" s="237"/>
      <c r="H65" s="237"/>
      <c r="I65" s="237"/>
      <c r="J65" s="237"/>
      <c r="K65" s="237"/>
      <c r="L65" s="237"/>
      <c r="M65" s="237"/>
      <c r="N65" s="237"/>
      <c r="O65" s="237"/>
      <c r="P65" s="237"/>
      <c r="Q65" s="1"/>
      <c r="R65" s="1"/>
      <c r="S65" s="1"/>
      <c r="T65" s="1"/>
      <c r="U65" s="1"/>
      <c r="V65" s="1"/>
      <c r="W65" s="1"/>
      <c r="X65" s="1"/>
      <c r="Y65" s="1"/>
      <c r="Z65" s="1"/>
    </row>
    <row r="66" spans="1:26" ht="12" customHeight="1">
      <c r="A66" s="237"/>
      <c r="B66" s="237"/>
      <c r="C66" s="237"/>
      <c r="D66" s="237"/>
      <c r="E66" s="237"/>
      <c r="F66" s="237"/>
      <c r="G66" s="237"/>
      <c r="H66" s="237"/>
      <c r="I66" s="237"/>
      <c r="J66" s="237"/>
      <c r="K66" s="237"/>
      <c r="L66" s="237"/>
      <c r="M66" s="237"/>
      <c r="N66" s="237"/>
      <c r="O66" s="237"/>
      <c r="P66" s="237"/>
      <c r="Q66" s="1"/>
      <c r="R66" s="1"/>
      <c r="S66" s="1"/>
      <c r="T66" s="1"/>
      <c r="U66" s="1"/>
      <c r="V66" s="1"/>
      <c r="W66" s="1"/>
      <c r="X66" s="1"/>
      <c r="Y66" s="1"/>
      <c r="Z66" s="1"/>
    </row>
    <row r="67" spans="1:26" ht="12" customHeight="1">
      <c r="A67" s="7" t="str">
        <f>IF($D$13="English","Tared load:","Tarierte Last:")</f>
        <v>Tared load:</v>
      </c>
      <c r="B67" s="31"/>
      <c r="C67" s="218"/>
      <c r="D67" s="216"/>
      <c r="E67" s="1" t="s">
        <v>33</v>
      </c>
      <c r="F67" s="1"/>
      <c r="G67" s="6"/>
      <c r="H67" s="1"/>
      <c r="J67" s="17"/>
      <c r="K67" s="1"/>
      <c r="L67" s="1"/>
      <c r="M67" s="1"/>
      <c r="N67" s="1"/>
      <c r="O67" s="1"/>
      <c r="P67" s="1"/>
      <c r="Q67" s="1"/>
      <c r="R67" s="1"/>
      <c r="S67" s="1"/>
      <c r="T67" s="1"/>
      <c r="U67" s="1"/>
      <c r="V67" s="1"/>
      <c r="W67" s="1"/>
      <c r="X67" s="1"/>
      <c r="Y67" s="1"/>
      <c r="Z67" s="1"/>
    </row>
    <row r="68" spans="1:26" ht="12" customHeight="1">
      <c r="A68" s="231" t="s">
        <v>26</v>
      </c>
      <c r="B68" s="223"/>
      <c r="C68" s="220"/>
      <c r="D68" s="19" t="s">
        <v>72</v>
      </c>
      <c r="E68" s="231" t="s">
        <v>27</v>
      </c>
      <c r="F68" s="220"/>
      <c r="G68" s="231" t="s">
        <v>73</v>
      </c>
      <c r="H68" s="220"/>
      <c r="I68" s="231" t="s">
        <v>29</v>
      </c>
      <c r="J68" s="223"/>
      <c r="K68" s="220"/>
      <c r="L68" s="37" t="s">
        <v>103</v>
      </c>
      <c r="M68" s="92"/>
      <c r="N68" s="19" t="s">
        <v>30</v>
      </c>
      <c r="O68" s="1"/>
      <c r="P68" s="1"/>
      <c r="Q68" s="1"/>
      <c r="R68" s="1"/>
      <c r="S68" s="1"/>
      <c r="T68" s="1"/>
      <c r="U68" s="1"/>
      <c r="V68" s="1"/>
      <c r="W68" s="1"/>
      <c r="X68" s="1"/>
      <c r="Y68" s="1"/>
      <c r="Z68" s="1"/>
    </row>
    <row r="69" spans="1:26" ht="12" customHeight="1">
      <c r="A69" s="259" t="s">
        <v>33</v>
      </c>
      <c r="B69" s="223"/>
      <c r="C69" s="220"/>
      <c r="D69" s="51"/>
      <c r="E69" s="231" t="s">
        <v>33</v>
      </c>
      <c r="F69" s="220"/>
      <c r="G69" s="256" t="s">
        <v>33</v>
      </c>
      <c r="H69" s="220"/>
      <c r="I69" s="256" t="s">
        <v>33</v>
      </c>
      <c r="J69" s="220"/>
      <c r="K69" s="52" t="s">
        <v>32</v>
      </c>
      <c r="L69" s="231" t="s">
        <v>33</v>
      </c>
      <c r="M69" s="220"/>
      <c r="N69" s="19" t="s">
        <v>34</v>
      </c>
      <c r="O69" s="1"/>
      <c r="P69" s="1"/>
      <c r="Q69" s="1"/>
      <c r="R69" s="1"/>
      <c r="S69" s="1"/>
      <c r="T69" s="1"/>
      <c r="U69" s="1"/>
      <c r="V69" s="1"/>
      <c r="W69" s="1"/>
      <c r="X69" s="1"/>
      <c r="Y69" s="1"/>
      <c r="Z69" s="1"/>
    </row>
    <row r="70" spans="1:26" ht="12" customHeight="1">
      <c r="A70" s="218"/>
      <c r="B70" s="215"/>
      <c r="C70" s="216"/>
      <c r="D70" s="51" t="str">
        <f t="shared" ref="D70:D78" si="14">IF($D$10=0," ",A70/$D$10)</f>
        <v xml:space="preserve"> </v>
      </c>
      <c r="E70" s="218"/>
      <c r="F70" s="216"/>
      <c r="G70" s="219" t="str">
        <f t="shared" ref="G70:G78" si="15">IF($A70=0," ",IF($D$10=0," ",E70-A70))</f>
        <v xml:space="preserve"> </v>
      </c>
      <c r="H70" s="220"/>
      <c r="I70" s="221" t="str">
        <f t="shared" ref="I70:I78" si="16">IF($D$9=0," ",K70*$D$10)</f>
        <v xml:space="preserve"> </v>
      </c>
      <c r="J70" s="220"/>
      <c r="K70" s="26">
        <f t="shared" ref="K70:K78" si="17">IF(D70=0,0,IF(D70&lt;=500,0.5,(IF(D70&lt;=2000,1,IF(D70&gt;2000,1.5," ")))))</f>
        <v>1.5</v>
      </c>
      <c r="L70" s="221" t="str">
        <f t="shared" ref="L70:L78" si="18">IF(E70=0," ",IF($E$38=" "," ",ROUND(G70-$E$38,4)))</f>
        <v xml:space="preserve"> </v>
      </c>
      <c r="M70" s="220"/>
      <c r="N70" s="27" t="str">
        <f t="shared" ref="N70:N78" si="19">IF(L70=" "," ",IF(ABS(L70)&lt;=I70,"Y","N"))</f>
        <v xml:space="preserve"> </v>
      </c>
      <c r="O70" s="1"/>
      <c r="P70" s="1"/>
      <c r="Q70" s="1"/>
      <c r="R70" s="1"/>
      <c r="S70" s="1"/>
      <c r="T70" s="1"/>
      <c r="U70" s="1"/>
      <c r="V70" s="1"/>
      <c r="W70" s="1"/>
      <c r="X70" s="1"/>
      <c r="Y70" s="1"/>
      <c r="Z70" s="1"/>
    </row>
    <row r="71" spans="1:26" ht="12" customHeight="1">
      <c r="A71" s="218"/>
      <c r="B71" s="215"/>
      <c r="C71" s="216"/>
      <c r="D71" s="51" t="str">
        <f t="shared" si="14"/>
        <v xml:space="preserve"> </v>
      </c>
      <c r="E71" s="218"/>
      <c r="F71" s="216"/>
      <c r="G71" s="219" t="str">
        <f t="shared" si="15"/>
        <v xml:space="preserve"> </v>
      </c>
      <c r="H71" s="220"/>
      <c r="I71" s="221" t="str">
        <f t="shared" si="16"/>
        <v xml:space="preserve"> </v>
      </c>
      <c r="J71" s="220"/>
      <c r="K71" s="26">
        <f t="shared" si="17"/>
        <v>1.5</v>
      </c>
      <c r="L71" s="221" t="str">
        <f t="shared" si="18"/>
        <v xml:space="preserve"> </v>
      </c>
      <c r="M71" s="220"/>
      <c r="N71" s="27" t="str">
        <f t="shared" si="19"/>
        <v xml:space="preserve"> </v>
      </c>
      <c r="O71" s="1"/>
      <c r="P71" s="1"/>
      <c r="Q71" s="1"/>
      <c r="R71" s="1"/>
      <c r="S71" s="1"/>
      <c r="T71" s="1"/>
      <c r="U71" s="1"/>
      <c r="V71" s="1"/>
      <c r="W71" s="1"/>
      <c r="X71" s="1"/>
      <c r="Y71" s="1"/>
      <c r="Z71" s="1"/>
    </row>
    <row r="72" spans="1:26" ht="12" customHeight="1">
      <c r="A72" s="218"/>
      <c r="B72" s="215"/>
      <c r="C72" s="216"/>
      <c r="D72" s="51" t="str">
        <f t="shared" si="14"/>
        <v xml:space="preserve"> </v>
      </c>
      <c r="E72" s="218"/>
      <c r="F72" s="216"/>
      <c r="G72" s="219" t="str">
        <f t="shared" si="15"/>
        <v xml:space="preserve"> </v>
      </c>
      <c r="H72" s="220"/>
      <c r="I72" s="221" t="str">
        <f t="shared" si="16"/>
        <v xml:space="preserve"> </v>
      </c>
      <c r="J72" s="220"/>
      <c r="K72" s="26">
        <f t="shared" si="17"/>
        <v>1.5</v>
      </c>
      <c r="L72" s="221" t="str">
        <f t="shared" si="18"/>
        <v xml:space="preserve"> </v>
      </c>
      <c r="M72" s="220"/>
      <c r="N72" s="27" t="str">
        <f t="shared" si="19"/>
        <v xml:space="preserve"> </v>
      </c>
      <c r="O72" s="1"/>
      <c r="P72" s="1"/>
      <c r="Q72" s="1"/>
      <c r="R72" s="1"/>
      <c r="S72" s="1"/>
      <c r="T72" s="1"/>
      <c r="U72" s="1"/>
      <c r="V72" s="1"/>
      <c r="W72" s="1"/>
      <c r="X72" s="1"/>
      <c r="Y72" s="1"/>
      <c r="Z72" s="1"/>
    </row>
    <row r="73" spans="1:26" ht="12" customHeight="1">
      <c r="A73" s="218"/>
      <c r="B73" s="215"/>
      <c r="C73" s="216"/>
      <c r="D73" s="51" t="str">
        <f t="shared" si="14"/>
        <v xml:space="preserve"> </v>
      </c>
      <c r="E73" s="218"/>
      <c r="F73" s="216"/>
      <c r="G73" s="219" t="str">
        <f t="shared" si="15"/>
        <v xml:space="preserve"> </v>
      </c>
      <c r="H73" s="220"/>
      <c r="I73" s="221" t="str">
        <f t="shared" si="16"/>
        <v xml:space="preserve"> </v>
      </c>
      <c r="J73" s="220"/>
      <c r="K73" s="26">
        <f t="shared" si="17"/>
        <v>1.5</v>
      </c>
      <c r="L73" s="221" t="str">
        <f t="shared" si="18"/>
        <v xml:space="preserve"> </v>
      </c>
      <c r="M73" s="220"/>
      <c r="N73" s="27" t="str">
        <f t="shared" si="19"/>
        <v xml:space="preserve"> </v>
      </c>
      <c r="O73" s="1"/>
      <c r="P73" s="1"/>
      <c r="Q73" s="1"/>
      <c r="R73" s="1"/>
      <c r="S73" s="1"/>
      <c r="T73" s="1"/>
      <c r="U73" s="1"/>
      <c r="V73" s="1"/>
      <c r="W73" s="1"/>
      <c r="X73" s="1"/>
      <c r="Y73" s="1"/>
      <c r="Z73" s="1"/>
    </row>
    <row r="74" spans="1:26" ht="12" customHeight="1">
      <c r="A74" s="218"/>
      <c r="B74" s="215"/>
      <c r="C74" s="216"/>
      <c r="D74" s="51" t="str">
        <f t="shared" si="14"/>
        <v xml:space="preserve"> </v>
      </c>
      <c r="E74" s="218"/>
      <c r="F74" s="216"/>
      <c r="G74" s="219" t="str">
        <f t="shared" si="15"/>
        <v xml:space="preserve"> </v>
      </c>
      <c r="H74" s="220"/>
      <c r="I74" s="221" t="str">
        <f t="shared" si="16"/>
        <v xml:space="preserve"> </v>
      </c>
      <c r="J74" s="220"/>
      <c r="K74" s="26">
        <f t="shared" si="17"/>
        <v>1.5</v>
      </c>
      <c r="L74" s="221" t="str">
        <f t="shared" si="18"/>
        <v xml:space="preserve"> </v>
      </c>
      <c r="M74" s="220"/>
      <c r="N74" s="27" t="str">
        <f t="shared" si="19"/>
        <v xml:space="preserve"> </v>
      </c>
      <c r="O74" s="1"/>
      <c r="P74" s="1"/>
      <c r="Q74" s="1"/>
      <c r="R74" s="1"/>
      <c r="S74" s="1"/>
      <c r="T74" s="1"/>
      <c r="U74" s="1"/>
      <c r="V74" s="1"/>
      <c r="W74" s="1"/>
      <c r="X74" s="1"/>
      <c r="Y74" s="1"/>
      <c r="Z74" s="1"/>
    </row>
    <row r="75" spans="1:26" ht="12" customHeight="1">
      <c r="A75" s="305">
        <f>A73</f>
        <v>0</v>
      </c>
      <c r="B75" s="223"/>
      <c r="C75" s="220"/>
      <c r="D75" s="51" t="str">
        <f t="shared" si="14"/>
        <v xml:space="preserve"> </v>
      </c>
      <c r="E75" s="218"/>
      <c r="F75" s="216"/>
      <c r="G75" s="219" t="str">
        <f t="shared" si="15"/>
        <v xml:space="preserve"> </v>
      </c>
      <c r="H75" s="220"/>
      <c r="I75" s="221" t="str">
        <f t="shared" si="16"/>
        <v xml:space="preserve"> </v>
      </c>
      <c r="J75" s="220"/>
      <c r="K75" s="26">
        <f t="shared" si="17"/>
        <v>1.5</v>
      </c>
      <c r="L75" s="221" t="str">
        <f t="shared" si="18"/>
        <v xml:space="preserve"> </v>
      </c>
      <c r="M75" s="220"/>
      <c r="N75" s="27" t="str">
        <f t="shared" si="19"/>
        <v xml:space="preserve"> </v>
      </c>
      <c r="O75" s="1"/>
      <c r="P75" s="1"/>
      <c r="Q75" s="17"/>
      <c r="R75" s="17"/>
      <c r="S75" s="1"/>
      <c r="T75" s="1"/>
      <c r="U75" s="1"/>
      <c r="V75" s="1"/>
      <c r="W75" s="1"/>
      <c r="X75" s="1"/>
      <c r="Y75" s="1"/>
      <c r="Z75" s="1"/>
    </row>
    <row r="76" spans="1:26" ht="12" customHeight="1">
      <c r="A76" s="305">
        <f>A72</f>
        <v>0</v>
      </c>
      <c r="B76" s="223"/>
      <c r="C76" s="220"/>
      <c r="D76" s="51" t="str">
        <f t="shared" si="14"/>
        <v xml:space="preserve"> </v>
      </c>
      <c r="E76" s="218"/>
      <c r="F76" s="216"/>
      <c r="G76" s="219" t="str">
        <f t="shared" si="15"/>
        <v xml:space="preserve"> </v>
      </c>
      <c r="H76" s="220"/>
      <c r="I76" s="221" t="str">
        <f t="shared" si="16"/>
        <v xml:space="preserve"> </v>
      </c>
      <c r="J76" s="220"/>
      <c r="K76" s="26">
        <f t="shared" si="17"/>
        <v>1.5</v>
      </c>
      <c r="L76" s="221" t="str">
        <f t="shared" si="18"/>
        <v xml:space="preserve"> </v>
      </c>
      <c r="M76" s="220"/>
      <c r="N76" s="27" t="str">
        <f t="shared" si="19"/>
        <v xml:space="preserve"> </v>
      </c>
      <c r="O76" s="1"/>
      <c r="P76" s="1"/>
      <c r="Q76" s="17"/>
      <c r="R76" s="17"/>
      <c r="S76" s="1"/>
      <c r="T76" s="1"/>
      <c r="U76" s="1"/>
      <c r="V76" s="1"/>
      <c r="W76" s="1"/>
      <c r="X76" s="1"/>
      <c r="Y76" s="1"/>
      <c r="Z76" s="1"/>
    </row>
    <row r="77" spans="1:26" ht="12" customHeight="1">
      <c r="A77" s="305">
        <f>A71</f>
        <v>0</v>
      </c>
      <c r="B77" s="223"/>
      <c r="C77" s="220"/>
      <c r="D77" s="51" t="str">
        <f t="shared" si="14"/>
        <v xml:space="preserve"> </v>
      </c>
      <c r="E77" s="218"/>
      <c r="F77" s="216"/>
      <c r="G77" s="219" t="str">
        <f t="shared" si="15"/>
        <v xml:space="preserve"> </v>
      </c>
      <c r="H77" s="220"/>
      <c r="I77" s="221" t="str">
        <f t="shared" si="16"/>
        <v xml:space="preserve"> </v>
      </c>
      <c r="J77" s="220"/>
      <c r="K77" s="26">
        <f t="shared" si="17"/>
        <v>1.5</v>
      </c>
      <c r="L77" s="221" t="str">
        <f t="shared" si="18"/>
        <v xml:space="preserve"> </v>
      </c>
      <c r="M77" s="220"/>
      <c r="N77" s="27" t="str">
        <f t="shared" si="19"/>
        <v xml:space="preserve"> </v>
      </c>
      <c r="O77" s="1"/>
      <c r="P77" s="1"/>
      <c r="Q77" s="17"/>
      <c r="R77" s="17"/>
      <c r="S77" s="1"/>
      <c r="T77" s="1"/>
      <c r="U77" s="1"/>
      <c r="V77" s="1"/>
      <c r="W77" s="1"/>
      <c r="X77" s="1"/>
      <c r="Y77" s="1"/>
      <c r="Z77" s="1"/>
    </row>
    <row r="78" spans="1:26" ht="12" customHeight="1">
      <c r="A78" s="305">
        <f>A70</f>
        <v>0</v>
      </c>
      <c r="B78" s="223"/>
      <c r="C78" s="220"/>
      <c r="D78" s="51" t="str">
        <f t="shared" si="14"/>
        <v xml:space="preserve"> </v>
      </c>
      <c r="E78" s="218"/>
      <c r="F78" s="216"/>
      <c r="G78" s="219" t="str">
        <f t="shared" si="15"/>
        <v xml:space="preserve"> </v>
      </c>
      <c r="H78" s="220"/>
      <c r="I78" s="221" t="str">
        <f t="shared" si="16"/>
        <v xml:space="preserve"> </v>
      </c>
      <c r="J78" s="220"/>
      <c r="K78" s="26">
        <f t="shared" si="17"/>
        <v>1.5</v>
      </c>
      <c r="L78" s="221" t="str">
        <f t="shared" si="18"/>
        <v xml:space="preserve"> </v>
      </c>
      <c r="M78" s="220"/>
      <c r="N78" s="27" t="str">
        <f t="shared" si="19"/>
        <v xml:space="preserve"> </v>
      </c>
      <c r="O78" s="1"/>
      <c r="P78" s="1"/>
      <c r="Q78" s="17"/>
      <c r="R78" s="17"/>
      <c r="S78" s="1"/>
      <c r="T78" s="1"/>
      <c r="U78" s="1"/>
      <c r="V78" s="1"/>
      <c r="W78" s="1"/>
      <c r="X78" s="1"/>
      <c r="Y78" s="1"/>
      <c r="Z78" s="1"/>
    </row>
    <row r="79" spans="1:26" ht="12" customHeight="1">
      <c r="A79" s="1"/>
      <c r="B79" s="53"/>
      <c r="C79" s="40"/>
      <c r="D79" s="1"/>
      <c r="E79" s="1"/>
      <c r="F79" s="1"/>
      <c r="G79" s="31"/>
      <c r="H79" s="31"/>
      <c r="I79" s="1"/>
      <c r="J79" s="1"/>
      <c r="K79" s="1"/>
      <c r="L79" s="54"/>
      <c r="M79" s="6" t="str">
        <f>IF($D$13="English","Test passed?","Test bestanden?")</f>
        <v>Test passed?</v>
      </c>
      <c r="N79" s="27" t="str">
        <f>IF(AND(N70="Y",N71="Y",N72="Y",N73="Y",N74="Y",N75="Y",N76="Y",N77="Y",N78="Y"),"Y","N")</f>
        <v>N</v>
      </c>
      <c r="O79" s="17"/>
      <c r="P79" s="1"/>
      <c r="Q79" s="1"/>
      <c r="R79" s="1"/>
      <c r="S79" s="1"/>
      <c r="T79" s="1"/>
      <c r="U79" s="1"/>
      <c r="V79" s="1"/>
      <c r="W79" s="1"/>
      <c r="X79" s="1"/>
      <c r="Y79" s="1"/>
      <c r="Z79" s="1"/>
    </row>
    <row r="80" spans="1:26" ht="12" customHeight="1">
      <c r="A80" s="47"/>
      <c r="B80" s="50"/>
      <c r="C80" s="50"/>
      <c r="D80" s="50"/>
      <c r="E80" s="50"/>
      <c r="F80" s="50"/>
      <c r="G80" s="50"/>
      <c r="H80" s="50"/>
      <c r="I80" s="50"/>
      <c r="J80" s="50"/>
      <c r="K80" s="50"/>
      <c r="L80" s="50"/>
      <c r="M80" s="50"/>
      <c r="N80" s="50"/>
      <c r="O80" s="50"/>
      <c r="P80" s="50"/>
      <c r="Q80" s="1"/>
      <c r="R80" s="1"/>
      <c r="S80" s="1"/>
      <c r="T80" s="1"/>
      <c r="U80" s="1"/>
      <c r="V80" s="1"/>
      <c r="W80" s="1"/>
      <c r="X80" s="1"/>
      <c r="Y80" s="1"/>
      <c r="Z80" s="1"/>
    </row>
    <row r="81" spans="1:26" ht="12" customHeight="1">
      <c r="A81" s="7" t="str">
        <f>IF($D$13="English","6.  Eccentricity Test (Indicator in hi-res mode)","6.  Prüfung bei Außermittiger Belastung (Indicator in hi-res mode)")</f>
        <v>6.  Eccentricity Test (Indicator in hi-res mode)</v>
      </c>
      <c r="B81" s="1"/>
      <c r="C81" s="6"/>
      <c r="D81" s="8"/>
      <c r="E81" s="8"/>
      <c r="F81" s="1"/>
      <c r="G81" s="1"/>
      <c r="H81" s="1" t="str">
        <f>IF($D$13="English","accordance to EN45501-2015, A.4.7","gemäß EN45501-2015, A.4.7")</f>
        <v>accordance to EN45501-2015, A.4.7</v>
      </c>
      <c r="I81" s="1"/>
      <c r="J81" s="1"/>
      <c r="K81" s="6"/>
      <c r="L81" s="6"/>
      <c r="M81" s="6"/>
      <c r="N81" s="1"/>
      <c r="O81" s="1"/>
      <c r="P81" s="1"/>
      <c r="Q81" s="1"/>
      <c r="R81" s="1"/>
      <c r="S81" s="1"/>
      <c r="T81" s="1"/>
      <c r="U81" s="1"/>
      <c r="V81" s="1"/>
      <c r="W81" s="1"/>
      <c r="X81" s="1"/>
      <c r="Y81" s="1"/>
      <c r="Z81" s="1"/>
    </row>
    <row r="82" spans="1:26" ht="15" customHeight="1">
      <c r="A82" s="7"/>
      <c r="B82" s="7" t="str">
        <f>IF($D$13="English","Load position","Belastungsort")</f>
        <v>Load position</v>
      </c>
      <c r="C82" s="1"/>
      <c r="D82" s="1"/>
      <c r="E82" s="1"/>
      <c r="F82" s="1"/>
      <c r="G82" s="1"/>
      <c r="H82" s="1"/>
      <c r="I82" s="1"/>
      <c r="J82" s="1"/>
      <c r="K82" s="1"/>
      <c r="L82" s="1"/>
      <c r="M82" s="1"/>
      <c r="N82" s="1"/>
      <c r="O82" s="1"/>
      <c r="P82" s="1"/>
      <c r="R82" s="1"/>
      <c r="S82" s="1"/>
      <c r="T82" s="1"/>
      <c r="U82" s="1"/>
      <c r="V82" s="1"/>
      <c r="W82" s="1"/>
      <c r="X82" s="1"/>
      <c r="Y82" s="1"/>
      <c r="Z82" s="1"/>
    </row>
    <row r="83" spans="1:26" ht="12" customHeight="1">
      <c r="A83" s="7"/>
      <c r="B83" s="55">
        <v>1</v>
      </c>
      <c r="C83" s="56"/>
      <c r="D83" s="57">
        <f>IF($Q$88="Y",2,4)</f>
        <v>4</v>
      </c>
      <c r="E83" s="58"/>
      <c r="F83" s="57" t="str">
        <f>IF(AND($G$88=4,Q88="N")," ",IF($Q$88="Y",3,5))</f>
        <v xml:space="preserve"> </v>
      </c>
      <c r="G83" s="56"/>
      <c r="H83" s="57" t="str">
        <f>IF(AND(OR($G$88=4,$G$88=6),Q88="N")," ",IF($Q$88="Y",4,8))</f>
        <v xml:space="preserve"> </v>
      </c>
      <c r="I83" s="56"/>
      <c r="J83" s="57" t="str">
        <f>IF(AND(OR($G$88=4,$G$88=6,$G$88=8),$Q$88="N")," ",IF($Q$88="Y"," ",9))</f>
        <v xml:space="preserve"> </v>
      </c>
      <c r="K83" s="56"/>
      <c r="O83" s="1"/>
      <c r="P83" s="1"/>
      <c r="Q83" s="23" t="s">
        <v>76</v>
      </c>
      <c r="R83" s="1"/>
      <c r="S83" s="1"/>
      <c r="T83" s="1"/>
      <c r="U83" s="1"/>
      <c r="V83" s="1"/>
      <c r="W83" s="1"/>
      <c r="X83" s="1"/>
      <c r="Y83" s="1"/>
      <c r="Z83" s="1"/>
    </row>
    <row r="84" spans="1:26" ht="12" customHeight="1">
      <c r="A84" s="7"/>
      <c r="B84" s="59"/>
      <c r="C84" s="60"/>
      <c r="D84" s="61"/>
      <c r="E84" s="61"/>
      <c r="F84" s="62"/>
      <c r="G84" s="60"/>
      <c r="H84" s="61"/>
      <c r="I84" s="60"/>
      <c r="J84" s="59"/>
      <c r="K84" s="60"/>
      <c r="L84" s="1"/>
      <c r="M84" s="1"/>
      <c r="N84" s="1"/>
      <c r="O84" s="1"/>
      <c r="P84" s="1"/>
      <c r="Q84" s="1"/>
      <c r="R84" s="1"/>
      <c r="S84" s="1"/>
      <c r="T84" s="1"/>
      <c r="U84" s="1"/>
      <c r="V84" s="1"/>
      <c r="W84" s="1"/>
      <c r="X84" s="1"/>
      <c r="Y84" s="1"/>
      <c r="Z84" s="1"/>
    </row>
    <row r="85" spans="1:26" ht="12" customHeight="1">
      <c r="A85" s="7"/>
      <c r="B85" s="55">
        <f>IF($Q$88="Y"," ",2)</f>
        <v>2</v>
      </c>
      <c r="C85" s="63" t="s">
        <v>77</v>
      </c>
      <c r="D85" s="55">
        <f>IF($Q$88="Y"," ",3)</f>
        <v>3</v>
      </c>
      <c r="E85" s="58"/>
      <c r="F85" s="57" t="str">
        <f>IF($G$88=4," ",IF($Q$88="Y"," ",6))</f>
        <v xml:space="preserve"> </v>
      </c>
      <c r="G85" s="63"/>
      <c r="H85" s="57" t="str">
        <f>IF(OR($G$88=4,$G$88=6)," ",IF($Q$88="Y"," ",7))</f>
        <v xml:space="preserve"> </v>
      </c>
      <c r="I85" s="63"/>
      <c r="J85" s="57" t="str">
        <f>IF(AND(OR($G$88=4,$G$88=6,$G$88=8),$Q$88="N")," ",IF($Q$88="Y"," ",10))</f>
        <v xml:space="preserve"> </v>
      </c>
      <c r="K85" s="56"/>
      <c r="L85" s="1"/>
      <c r="M85" s="1"/>
      <c r="N85" s="1"/>
      <c r="O85" s="1"/>
      <c r="P85" s="1"/>
      <c r="Q85" s="1"/>
      <c r="R85" s="1"/>
      <c r="S85" s="1"/>
      <c r="T85" s="1"/>
      <c r="U85" s="1"/>
      <c r="V85" s="1"/>
      <c r="W85" s="1"/>
      <c r="X85" s="1"/>
      <c r="Y85" s="1"/>
      <c r="Z85" s="1"/>
    </row>
    <row r="86" spans="1:26" ht="12" customHeight="1">
      <c r="A86" s="7"/>
      <c r="B86" s="59"/>
      <c r="C86" s="60"/>
      <c r="D86" s="61"/>
      <c r="E86" s="64"/>
      <c r="F86" s="61"/>
      <c r="G86" s="60"/>
      <c r="H86" s="61"/>
      <c r="I86" s="60"/>
      <c r="J86" s="59"/>
      <c r="K86" s="60"/>
      <c r="L86" s="1"/>
      <c r="M86" s="1"/>
      <c r="N86" s="1"/>
      <c r="O86" s="1"/>
      <c r="P86" s="1"/>
      <c r="Q86" s="1"/>
      <c r="R86" s="1"/>
      <c r="S86" s="1"/>
      <c r="T86" s="1"/>
      <c r="U86" s="1"/>
      <c r="V86" s="1"/>
      <c r="W86" s="1"/>
      <c r="X86" s="1"/>
      <c r="Y86" s="1"/>
      <c r="Z86" s="1"/>
    </row>
    <row r="87" spans="1:26" ht="12" customHeight="1">
      <c r="A87" s="7"/>
      <c r="B87" s="1"/>
      <c r="C87" s="1"/>
      <c r="D87" s="1"/>
      <c r="E87" s="1"/>
      <c r="F87" s="1"/>
      <c r="G87" s="1"/>
      <c r="H87" s="1"/>
      <c r="I87" s="1"/>
      <c r="J87" s="236" t="str">
        <f>IF($D$13="English","Load positions in one line (e.g. weighing belt)?","Belastungsorte in einer Reihe (z.B. Bandwaage)?")</f>
        <v>Load positions in one line (e.g. weighing belt)?</v>
      </c>
      <c r="K87" s="237"/>
      <c r="L87" s="237"/>
      <c r="M87" s="237"/>
      <c r="N87" s="237"/>
      <c r="O87" s="237"/>
      <c r="P87" s="1"/>
      <c r="Q87" s="1"/>
      <c r="R87" s="1"/>
      <c r="S87" s="1"/>
      <c r="T87" s="1"/>
      <c r="U87" s="1"/>
      <c r="V87" s="1"/>
      <c r="W87" s="1"/>
      <c r="X87" s="1"/>
      <c r="Y87" s="1"/>
      <c r="Z87" s="1"/>
    </row>
    <row r="88" spans="1:26" ht="12" customHeight="1">
      <c r="A88" s="7"/>
      <c r="B88" s="1" t="str">
        <f>IF($D$13="English","number of load carrier","Anzahl Auflager")</f>
        <v>number of load carrier</v>
      </c>
      <c r="C88" s="1"/>
      <c r="F88" s="23" t="s">
        <v>76</v>
      </c>
      <c r="G88" s="171">
        <v>4</v>
      </c>
      <c r="H88" s="1"/>
      <c r="I88" s="1"/>
      <c r="J88" s="237"/>
      <c r="K88" s="237"/>
      <c r="L88" s="237"/>
      <c r="M88" s="237"/>
      <c r="N88" s="237"/>
      <c r="O88" s="237"/>
      <c r="Q88" s="172" t="s">
        <v>78</v>
      </c>
      <c r="R88" s="1"/>
      <c r="S88" s="1"/>
      <c r="T88" s="1"/>
      <c r="U88" s="1"/>
      <c r="V88" s="1"/>
      <c r="W88" s="1"/>
      <c r="X88" s="1"/>
      <c r="Y88" s="1"/>
      <c r="Z88" s="1"/>
    </row>
    <row r="89" spans="1:26" ht="12" customHeight="1">
      <c r="A89" s="7"/>
      <c r="B89" s="1"/>
      <c r="C89" s="1"/>
      <c r="D89" s="1"/>
      <c r="E89" s="1"/>
      <c r="F89" s="1"/>
      <c r="G89" s="1"/>
      <c r="H89" s="1"/>
      <c r="I89" s="1"/>
      <c r="J89" s="66"/>
      <c r="K89" s="1"/>
      <c r="L89" s="1"/>
      <c r="M89" s="1"/>
      <c r="N89" s="1"/>
      <c r="R89" s="1"/>
      <c r="S89" s="1"/>
      <c r="T89" s="1"/>
      <c r="U89" s="1"/>
      <c r="V89" s="1"/>
      <c r="W89" s="1"/>
      <c r="X89" s="1"/>
      <c r="Y89" s="1"/>
      <c r="Z89" s="1"/>
    </row>
    <row r="90" spans="1:26" ht="21.75" customHeight="1">
      <c r="A90" s="264" t="str">
        <f>IF($D$13="English","load must be about","ungefähre Last")</f>
        <v>load must be about</v>
      </c>
      <c r="B90" s="220"/>
      <c r="C90" s="67" t="s">
        <v>26</v>
      </c>
      <c r="D90" s="126"/>
      <c r="E90" s="68"/>
      <c r="F90" s="67" t="s">
        <v>27</v>
      </c>
      <c r="G90" s="68"/>
      <c r="H90" s="265" t="s">
        <v>28</v>
      </c>
      <c r="I90" s="220"/>
      <c r="J90" s="67" t="s">
        <v>29</v>
      </c>
      <c r="K90" s="68"/>
      <c r="L90" s="69" t="s">
        <v>30</v>
      </c>
      <c r="M90" s="65"/>
      <c r="N90" s="65"/>
      <c r="O90" s="34"/>
      <c r="P90" s="34"/>
      <c r="Q90" s="34"/>
      <c r="R90" s="65"/>
      <c r="S90" s="65"/>
      <c r="T90" s="65"/>
      <c r="U90" s="65"/>
      <c r="V90" s="65"/>
      <c r="W90" s="65"/>
      <c r="X90" s="65"/>
      <c r="Y90" s="65"/>
      <c r="Z90" s="65"/>
    </row>
    <row r="91" spans="1:26" ht="12" customHeight="1">
      <c r="A91" s="231" t="s">
        <v>33</v>
      </c>
      <c r="B91" s="220"/>
      <c r="C91" s="18" t="s">
        <v>32</v>
      </c>
      <c r="D91" s="20" t="s">
        <v>79</v>
      </c>
      <c r="E91" s="21" t="s">
        <v>33</v>
      </c>
      <c r="F91" s="18" t="s">
        <v>33</v>
      </c>
      <c r="G91" s="70"/>
      <c r="H91" s="231" t="s">
        <v>33</v>
      </c>
      <c r="I91" s="220"/>
      <c r="J91" s="19" t="s">
        <v>33</v>
      </c>
      <c r="K91" s="21" t="s">
        <v>32</v>
      </c>
      <c r="L91" s="19" t="s">
        <v>34</v>
      </c>
      <c r="M91" s="1"/>
      <c r="N91" s="1"/>
      <c r="R91" s="1"/>
      <c r="S91" s="1"/>
      <c r="T91" s="1"/>
      <c r="U91" s="1"/>
      <c r="V91" s="1"/>
      <c r="W91" s="1"/>
      <c r="X91" s="1"/>
      <c r="Y91" s="1"/>
      <c r="Z91" s="1"/>
    </row>
    <row r="92" spans="1:26" ht="12" customHeight="1">
      <c r="A92" s="304">
        <f t="shared" ref="A92:A95" si="20">ROUND($D$9/($G$88-1),-0.01)</f>
        <v>0</v>
      </c>
      <c r="B92" s="220"/>
      <c r="C92" s="11" t="str">
        <f>IF($D$10=0," ",E92/$D$10)</f>
        <v xml:space="preserve"> </v>
      </c>
      <c r="D92" s="20">
        <v>1</v>
      </c>
      <c r="E92" s="182"/>
      <c r="F92" s="229"/>
      <c r="G92" s="216"/>
      <c r="H92" s="221" t="str">
        <f t="shared" ref="H92:H101" si="21">IF(F92=0," ",ABS(E92-F92))</f>
        <v xml:space="preserve"> </v>
      </c>
      <c r="I92" s="220"/>
      <c r="J92" s="35">
        <f t="shared" ref="J92:J101" si="22">PRODUCT($D$10,K92)</f>
        <v>0</v>
      </c>
      <c r="K92" s="26">
        <f t="shared" ref="K92:K101" si="23">IF(C92=" ",0,IF(C92&lt;=500,0.5,(IF(C92&lt;=2000,1,IF(C92&gt;2000,1.5," ")))))</f>
        <v>0</v>
      </c>
      <c r="L92" s="27" t="str">
        <f t="shared" ref="L92:L101" si="24">IF(F92=0," ",IF(ABS(H92)&lt;=J92,"Y","N"))</f>
        <v xml:space="preserve"> </v>
      </c>
      <c r="M92" s="1"/>
      <c r="Q92" s="1"/>
      <c r="R92" s="1"/>
      <c r="S92" s="1"/>
      <c r="T92" s="1"/>
      <c r="U92" s="1"/>
      <c r="V92" s="1"/>
      <c r="W92" s="1"/>
      <c r="X92" s="1"/>
      <c r="Y92" s="1"/>
      <c r="Z92" s="1"/>
    </row>
    <row r="93" spans="1:26" ht="12" customHeight="1">
      <c r="A93" s="304">
        <f t="shared" si="20"/>
        <v>0</v>
      </c>
      <c r="B93" s="220"/>
      <c r="C93" s="11" t="str">
        <f t="shared" ref="C93:C95" si="25">IF($D$10=0," ",IF(E93=" ",0,E93/$D$10))</f>
        <v xml:space="preserve"> </v>
      </c>
      <c r="D93" s="20">
        <v>2</v>
      </c>
      <c r="E93" s="127" t="str">
        <f t="shared" ref="E93:E95" si="26">IF($G$88&gt;1,IF($E$92=0," ",$E$92)," ")</f>
        <v xml:space="preserve"> </v>
      </c>
      <c r="F93" s="229"/>
      <c r="G93" s="216"/>
      <c r="H93" s="221" t="str">
        <f t="shared" si="21"/>
        <v xml:space="preserve"> </v>
      </c>
      <c r="I93" s="220"/>
      <c r="J93" s="35">
        <f t="shared" si="22"/>
        <v>0</v>
      </c>
      <c r="K93" s="26">
        <f t="shared" si="23"/>
        <v>0</v>
      </c>
      <c r="L93" s="27" t="str">
        <f t="shared" si="24"/>
        <v xml:space="preserve"> </v>
      </c>
      <c r="N93" s="73" t="str">
        <f>IF(AND(L92="Y",L93="Y",L94="Y",L95="Y"),"Y","N")</f>
        <v>N</v>
      </c>
      <c r="R93" s="1"/>
      <c r="S93" s="1"/>
      <c r="T93" s="1"/>
      <c r="U93" s="1"/>
      <c r="V93" s="1"/>
      <c r="W93" s="1"/>
      <c r="X93" s="1"/>
      <c r="Y93" s="1"/>
      <c r="Z93" s="1"/>
    </row>
    <row r="94" spans="1:26" ht="12" customHeight="1">
      <c r="A94" s="304">
        <f t="shared" si="20"/>
        <v>0</v>
      </c>
      <c r="B94" s="220"/>
      <c r="C94" s="11" t="str">
        <f t="shared" si="25"/>
        <v xml:space="preserve"> </v>
      </c>
      <c r="D94" s="20">
        <v>3</v>
      </c>
      <c r="E94" s="127" t="str">
        <f t="shared" si="26"/>
        <v xml:space="preserve"> </v>
      </c>
      <c r="F94" s="229"/>
      <c r="G94" s="216"/>
      <c r="H94" s="221" t="str">
        <f t="shared" si="21"/>
        <v xml:space="preserve"> </v>
      </c>
      <c r="I94" s="220"/>
      <c r="J94" s="35">
        <f t="shared" si="22"/>
        <v>0</v>
      </c>
      <c r="K94" s="26">
        <f t="shared" si="23"/>
        <v>0</v>
      </c>
      <c r="L94" s="27" t="str">
        <f t="shared" si="24"/>
        <v xml:space="preserve"> </v>
      </c>
      <c r="N94" s="73" t="str">
        <f>IF(AND(L92="Y",L93="Y",L94="Y",L95="Y",L96="Y",L97="Y"),"Y","N")</f>
        <v>N</v>
      </c>
      <c r="R94" s="1"/>
      <c r="S94" s="1"/>
      <c r="T94" s="1"/>
      <c r="U94" s="1"/>
      <c r="V94" s="1"/>
      <c r="W94" s="1"/>
      <c r="X94" s="1"/>
      <c r="Y94" s="1"/>
      <c r="Z94" s="1"/>
    </row>
    <row r="95" spans="1:26" ht="12" customHeight="1">
      <c r="A95" s="304">
        <f t="shared" si="20"/>
        <v>0</v>
      </c>
      <c r="B95" s="220"/>
      <c r="C95" s="11" t="str">
        <f t="shared" si="25"/>
        <v xml:space="preserve"> </v>
      </c>
      <c r="D95" s="20">
        <v>4</v>
      </c>
      <c r="E95" s="127" t="str">
        <f t="shared" si="26"/>
        <v xml:space="preserve"> </v>
      </c>
      <c r="F95" s="229"/>
      <c r="G95" s="216"/>
      <c r="H95" s="221" t="str">
        <f t="shared" si="21"/>
        <v xml:space="preserve"> </v>
      </c>
      <c r="I95" s="220"/>
      <c r="J95" s="35">
        <f t="shared" si="22"/>
        <v>0</v>
      </c>
      <c r="K95" s="26">
        <f t="shared" si="23"/>
        <v>0</v>
      </c>
      <c r="L95" s="27" t="str">
        <f t="shared" si="24"/>
        <v xml:space="preserve"> </v>
      </c>
      <c r="N95" s="73" t="str">
        <f>IF(AND(L92="Y",L93="Y",L94="Y",L95="Y",L96="Y",L97="Y",L98="Y",L99="Y"),"Y","N")</f>
        <v>N</v>
      </c>
      <c r="R95" s="1"/>
      <c r="S95" s="1"/>
      <c r="T95" s="1"/>
      <c r="U95" s="1"/>
      <c r="V95" s="1"/>
      <c r="W95" s="1"/>
      <c r="X95" s="1"/>
      <c r="Y95" s="1"/>
      <c r="Z95" s="1"/>
    </row>
    <row r="96" spans="1:26" ht="12" customHeight="1">
      <c r="A96" s="304" t="str">
        <f>IF(G88=4," ",ROUND($D$9/($G$88-1),-0.01))</f>
        <v xml:space="preserve"> </v>
      </c>
      <c r="B96" s="220"/>
      <c r="C96" s="11" t="str">
        <f t="shared" ref="C96:C101" si="27">IF($D$10=0," ",IF(E96=" "," ",E96/$D$10))</f>
        <v xml:space="preserve"> </v>
      </c>
      <c r="D96" s="20">
        <v>5</v>
      </c>
      <c r="E96" s="127" t="str">
        <f t="shared" ref="E96:E97" si="28">IF($G$88&gt;4,IF($E$92=0," ",$E$92)," ")</f>
        <v xml:space="preserve"> </v>
      </c>
      <c r="F96" s="229"/>
      <c r="G96" s="216"/>
      <c r="H96" s="221" t="str">
        <f t="shared" si="21"/>
        <v xml:space="preserve"> </v>
      </c>
      <c r="I96" s="220"/>
      <c r="J96" s="35">
        <f t="shared" si="22"/>
        <v>0</v>
      </c>
      <c r="K96" s="26">
        <f t="shared" si="23"/>
        <v>0</v>
      </c>
      <c r="L96" s="27" t="str">
        <f t="shared" si="24"/>
        <v xml:space="preserve"> </v>
      </c>
      <c r="N96" s="73" t="str">
        <f>IF(AND(L92="Y",L93="Y",L94="Y",L95="Y",L96="Y",L97="Y",L98="Y",L99="Y",L100="Y",L101="Y"),"Y","N")</f>
        <v>N</v>
      </c>
      <c r="R96" s="1"/>
      <c r="S96" s="1"/>
      <c r="T96" s="1"/>
      <c r="U96" s="1"/>
      <c r="V96" s="1"/>
      <c r="W96" s="1"/>
      <c r="X96" s="1"/>
      <c r="Y96" s="1"/>
      <c r="Z96" s="1"/>
    </row>
    <row r="97" spans="1:26" ht="12" customHeight="1">
      <c r="A97" s="304" t="str">
        <f>IF(G88=4," ",ROUND($D$9/($G$88-1),-0.01))</f>
        <v xml:space="preserve"> </v>
      </c>
      <c r="B97" s="220"/>
      <c r="C97" s="11" t="str">
        <f t="shared" si="27"/>
        <v xml:space="preserve"> </v>
      </c>
      <c r="D97" s="20">
        <v>6</v>
      </c>
      <c r="E97" s="127" t="str">
        <f t="shared" si="28"/>
        <v xml:space="preserve"> </v>
      </c>
      <c r="F97" s="229"/>
      <c r="G97" s="216"/>
      <c r="H97" s="221" t="str">
        <f t="shared" si="21"/>
        <v xml:space="preserve"> </v>
      </c>
      <c r="I97" s="220"/>
      <c r="J97" s="35">
        <f t="shared" si="22"/>
        <v>0</v>
      </c>
      <c r="K97" s="26">
        <f t="shared" si="23"/>
        <v>0</v>
      </c>
      <c r="L97" s="27" t="str">
        <f t="shared" si="24"/>
        <v xml:space="preserve"> </v>
      </c>
      <c r="R97" s="1"/>
      <c r="S97" s="1"/>
      <c r="T97" s="1"/>
      <c r="U97" s="1"/>
      <c r="V97" s="1"/>
      <c r="W97" s="1"/>
      <c r="X97" s="1"/>
      <c r="Y97" s="1"/>
      <c r="Z97" s="1"/>
    </row>
    <row r="98" spans="1:26" ht="12" customHeight="1">
      <c r="A98" s="304" t="str">
        <f>IF(G88&lt;8," ",ROUND($D$9/($G$88-1),-0.01))</f>
        <v xml:space="preserve"> </v>
      </c>
      <c r="B98" s="220"/>
      <c r="C98" s="11" t="str">
        <f t="shared" si="27"/>
        <v xml:space="preserve"> </v>
      </c>
      <c r="D98" s="20">
        <v>7</v>
      </c>
      <c r="E98" s="127" t="str">
        <f t="shared" ref="E98:E101" si="29">IF($G$88&gt;6,IF($E$92=0," ",$E$92)," ")</f>
        <v xml:space="preserve"> </v>
      </c>
      <c r="F98" s="229"/>
      <c r="G98" s="216"/>
      <c r="H98" s="221" t="str">
        <f t="shared" si="21"/>
        <v xml:space="preserve"> </v>
      </c>
      <c r="I98" s="220"/>
      <c r="J98" s="35">
        <f t="shared" si="22"/>
        <v>0</v>
      </c>
      <c r="K98" s="26">
        <f t="shared" si="23"/>
        <v>0</v>
      </c>
      <c r="L98" s="27" t="str">
        <f t="shared" si="24"/>
        <v xml:space="preserve"> </v>
      </c>
      <c r="R98" s="1"/>
      <c r="S98" s="1"/>
      <c r="T98" s="1"/>
      <c r="U98" s="1"/>
      <c r="V98" s="1"/>
      <c r="W98" s="1"/>
      <c r="X98" s="1"/>
      <c r="Y98" s="1"/>
      <c r="Z98" s="1"/>
    </row>
    <row r="99" spans="1:26" ht="12" customHeight="1">
      <c r="A99" s="304" t="str">
        <f>IF(G88&lt;8," ",ROUND($D$9/($G$88-1),-0.01))</f>
        <v xml:space="preserve"> </v>
      </c>
      <c r="B99" s="220"/>
      <c r="C99" s="11" t="str">
        <f t="shared" si="27"/>
        <v xml:space="preserve"> </v>
      </c>
      <c r="D99" s="20">
        <v>8</v>
      </c>
      <c r="E99" s="127" t="str">
        <f t="shared" si="29"/>
        <v xml:space="preserve"> </v>
      </c>
      <c r="F99" s="229"/>
      <c r="G99" s="216"/>
      <c r="H99" s="221" t="str">
        <f t="shared" si="21"/>
        <v xml:space="preserve"> </v>
      </c>
      <c r="I99" s="220"/>
      <c r="J99" s="35">
        <f t="shared" si="22"/>
        <v>0</v>
      </c>
      <c r="K99" s="26">
        <f t="shared" si="23"/>
        <v>0</v>
      </c>
      <c r="L99" s="27" t="str">
        <f t="shared" si="24"/>
        <v xml:space="preserve"> </v>
      </c>
      <c r="R99" s="1"/>
      <c r="S99" s="1"/>
      <c r="T99" s="1"/>
      <c r="U99" s="1"/>
      <c r="V99" s="1"/>
      <c r="W99" s="1"/>
      <c r="X99" s="1"/>
      <c r="Y99" s="1"/>
      <c r="Z99" s="1"/>
    </row>
    <row r="100" spans="1:26" ht="12" customHeight="1">
      <c r="A100" s="304" t="str">
        <f>IF(G88&lt;10," ",ROUND($D$9/($G$88-1),-0.01))</f>
        <v xml:space="preserve"> </v>
      </c>
      <c r="B100" s="220"/>
      <c r="C100" s="11" t="str">
        <f t="shared" si="27"/>
        <v xml:space="preserve"> </v>
      </c>
      <c r="D100" s="20">
        <v>9</v>
      </c>
      <c r="E100" s="127" t="str">
        <f t="shared" si="29"/>
        <v xml:space="preserve"> </v>
      </c>
      <c r="F100" s="229"/>
      <c r="G100" s="216"/>
      <c r="H100" s="221" t="str">
        <f t="shared" si="21"/>
        <v xml:space="preserve"> </v>
      </c>
      <c r="I100" s="220"/>
      <c r="J100" s="35">
        <f t="shared" si="22"/>
        <v>0</v>
      </c>
      <c r="K100" s="26">
        <f t="shared" si="23"/>
        <v>0</v>
      </c>
      <c r="L100" s="27" t="str">
        <f t="shared" si="24"/>
        <v xml:space="preserve"> </v>
      </c>
      <c r="R100" s="1"/>
      <c r="S100" s="1"/>
      <c r="T100" s="1"/>
      <c r="U100" s="1"/>
      <c r="V100" s="1"/>
      <c r="W100" s="1"/>
      <c r="X100" s="1"/>
      <c r="Y100" s="1"/>
      <c r="Z100" s="1"/>
    </row>
    <row r="101" spans="1:26" ht="12" customHeight="1">
      <c r="A101" s="304" t="str">
        <f>IF(G88&lt;10," ",ROUND($D$9/($G$88-1),-0.01))</f>
        <v xml:space="preserve"> </v>
      </c>
      <c r="B101" s="220"/>
      <c r="C101" s="11" t="str">
        <f t="shared" si="27"/>
        <v xml:space="preserve"> </v>
      </c>
      <c r="D101" s="20">
        <v>10</v>
      </c>
      <c r="E101" s="127" t="str">
        <f t="shared" si="29"/>
        <v xml:space="preserve"> </v>
      </c>
      <c r="F101" s="229"/>
      <c r="G101" s="216"/>
      <c r="H101" s="221" t="str">
        <f t="shared" si="21"/>
        <v xml:space="preserve"> </v>
      </c>
      <c r="I101" s="220"/>
      <c r="J101" s="35">
        <f t="shared" si="22"/>
        <v>0</v>
      </c>
      <c r="K101" s="26">
        <f t="shared" si="23"/>
        <v>0</v>
      </c>
      <c r="L101" s="27" t="str">
        <f t="shared" si="24"/>
        <v xml:space="preserve"> </v>
      </c>
      <c r="R101" s="1"/>
      <c r="S101" s="1"/>
      <c r="T101" s="1"/>
      <c r="U101" s="1"/>
      <c r="V101" s="1"/>
      <c r="W101" s="1"/>
      <c r="X101" s="1"/>
      <c r="Y101" s="1"/>
      <c r="Z101" s="1"/>
    </row>
    <row r="102" spans="1:26" ht="12" customHeight="1">
      <c r="A102" s="1"/>
      <c r="B102" s="1"/>
      <c r="C102" s="1"/>
      <c r="D102" s="1"/>
      <c r="E102" s="1"/>
      <c r="F102" s="262"/>
      <c r="G102" s="237"/>
      <c r="H102" s="31"/>
      <c r="I102" s="1"/>
      <c r="J102" s="17"/>
      <c r="K102" s="6" t="str">
        <f>IF($D$13="English","Test passed?","Test bestanden?")</f>
        <v>Test passed?</v>
      </c>
      <c r="L102" s="27" t="str">
        <f>IF($G$88=4,$N$93,IF($G$88=6,$N$94,IF($G$88=8,$N$95,IF($G88=10,$N$96,"N"))))</f>
        <v>N</v>
      </c>
      <c r="R102" s="1"/>
      <c r="S102" s="1"/>
      <c r="T102" s="1"/>
      <c r="U102" s="1"/>
      <c r="V102" s="1"/>
      <c r="W102" s="1"/>
      <c r="X102" s="1"/>
      <c r="Y102" s="1"/>
      <c r="Z102" s="1"/>
    </row>
    <row r="103" spans="1:26" ht="12.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c r="A104" s="7" t="str">
        <f>IF($D$13="English","7.  Earth Gravity","7. Fallbeschleunigung")</f>
        <v>7.  Earth Gravity</v>
      </c>
      <c r="B104" s="46"/>
      <c r="C104" s="74"/>
      <c r="D104" s="74"/>
      <c r="E104" s="41"/>
      <c r="F104" s="41"/>
      <c r="G104" s="41"/>
      <c r="H104" s="75"/>
      <c r="I104" s="75"/>
      <c r="J104" s="41"/>
      <c r="K104" s="41"/>
      <c r="L104" s="73"/>
      <c r="M104" s="73"/>
      <c r="N104" s="42"/>
      <c r="O104" s="42"/>
      <c r="P104" s="28"/>
      <c r="Q104" s="1"/>
      <c r="R104" s="1"/>
      <c r="S104" s="1"/>
      <c r="T104" s="1"/>
      <c r="U104" s="1"/>
      <c r="V104" s="1"/>
      <c r="W104" s="1"/>
      <c r="X104" s="1"/>
      <c r="Y104" s="1"/>
      <c r="Z104" s="1"/>
    </row>
    <row r="105" spans="1:26" ht="12.75" customHeight="1">
      <c r="A105" s="7" t="str">
        <f>IF($D$13="English","Verification for: g=","Prüfung für: g=")</f>
        <v>Verification for: g=</v>
      </c>
      <c r="B105" s="46"/>
      <c r="C105" s="74"/>
      <c r="D105" s="260"/>
      <c r="E105" s="216"/>
      <c r="F105" s="41"/>
      <c r="G105" s="41"/>
      <c r="H105" s="176" t="s">
        <v>80</v>
      </c>
      <c r="I105" s="7" t="str">
        <f>IF($D$13="English","Not required","vernachlässigbar")</f>
        <v>Not required</v>
      </c>
      <c r="J105" s="41"/>
      <c r="K105" s="41"/>
      <c r="L105" s="73"/>
      <c r="M105" s="73"/>
      <c r="N105" s="1"/>
      <c r="O105" s="1"/>
      <c r="P105" s="1"/>
      <c r="Q105" s="1"/>
      <c r="R105" s="1"/>
      <c r="S105" s="1"/>
      <c r="T105" s="1"/>
      <c r="U105" s="1"/>
      <c r="V105" s="1"/>
      <c r="W105" s="1"/>
      <c r="X105" s="1"/>
      <c r="Y105" s="1"/>
      <c r="Z105" s="1"/>
    </row>
    <row r="106" spans="1:26" ht="12.75" customHeight="1">
      <c r="A106" s="45"/>
      <c r="B106" s="46"/>
      <c r="C106" s="74"/>
      <c r="D106" s="260"/>
      <c r="E106" s="216"/>
      <c r="F106" s="41"/>
      <c r="G106" s="41"/>
      <c r="H106" s="75"/>
      <c r="I106" s="75"/>
      <c r="J106" s="41"/>
      <c r="K106" s="41"/>
      <c r="L106" s="73"/>
      <c r="M106" s="73"/>
      <c r="N106" s="1"/>
      <c r="O106" s="1"/>
      <c r="P106" s="1"/>
      <c r="Q106" s="1"/>
      <c r="R106" s="1"/>
      <c r="S106" s="1"/>
      <c r="T106" s="1"/>
      <c r="U106" s="1"/>
      <c r="V106" s="1"/>
      <c r="W106" s="1"/>
      <c r="X106" s="1"/>
      <c r="Y106" s="1"/>
      <c r="Z106" s="1"/>
    </row>
    <row r="107" spans="1:26" ht="12.75" customHeight="1">
      <c r="A107" s="45"/>
      <c r="B107" s="46"/>
      <c r="C107" s="74"/>
      <c r="D107" s="74"/>
      <c r="E107" s="74"/>
      <c r="F107" s="41"/>
      <c r="G107" s="41"/>
      <c r="H107" s="75"/>
      <c r="I107" s="75"/>
      <c r="J107" s="41"/>
      <c r="K107" s="41"/>
      <c r="L107" s="73"/>
      <c r="M107" s="73"/>
      <c r="N107" s="1"/>
      <c r="O107" s="1"/>
      <c r="P107" s="1"/>
      <c r="Q107" s="1"/>
      <c r="R107" s="1"/>
      <c r="S107" s="1"/>
      <c r="T107" s="1"/>
      <c r="U107" s="1"/>
      <c r="V107" s="1"/>
      <c r="W107" s="1"/>
      <c r="X107" s="1"/>
      <c r="Y107" s="1"/>
      <c r="Z107" s="1"/>
    </row>
    <row r="108" spans="1:26" ht="12.75" customHeight="1">
      <c r="A108" s="76" t="str">
        <f>IF($D$13="English","place of installation:","Ort der Inbetriebnahme:")</f>
        <v>place of installation:</v>
      </c>
      <c r="B108" s="1"/>
      <c r="C108" s="1"/>
      <c r="D108" s="1"/>
      <c r="E108" s="253"/>
      <c r="F108" s="215"/>
      <c r="G108" s="215"/>
      <c r="H108" s="215"/>
      <c r="I108" s="215"/>
      <c r="J108" s="215"/>
      <c r="K108" s="215"/>
      <c r="L108" s="215"/>
      <c r="M108" s="215"/>
      <c r="N108" s="215"/>
      <c r="O108" s="215"/>
      <c r="P108" s="215"/>
      <c r="Q108" s="261"/>
      <c r="R108" s="1"/>
      <c r="S108" s="1"/>
      <c r="T108" s="1"/>
      <c r="U108" s="1"/>
      <c r="V108" s="1"/>
      <c r="W108" s="1"/>
      <c r="X108" s="1"/>
      <c r="Y108" s="1"/>
      <c r="Z108" s="1"/>
    </row>
    <row r="109" spans="1:26" ht="12.75" customHeight="1">
      <c r="A109" s="77"/>
      <c r="B109" s="1"/>
      <c r="C109" s="1"/>
      <c r="D109" s="1"/>
      <c r="E109" s="253"/>
      <c r="F109" s="215"/>
      <c r="G109" s="215"/>
      <c r="H109" s="215"/>
      <c r="I109" s="215"/>
      <c r="J109" s="215"/>
      <c r="K109" s="215"/>
      <c r="L109" s="215"/>
      <c r="M109" s="215"/>
      <c r="N109" s="215"/>
      <c r="O109" s="215"/>
      <c r="P109" s="215"/>
      <c r="Q109" s="261"/>
      <c r="R109" s="1"/>
      <c r="S109" s="1"/>
      <c r="T109" s="1"/>
      <c r="U109" s="1"/>
      <c r="V109" s="1"/>
      <c r="W109" s="1"/>
      <c r="X109" s="1"/>
      <c r="Y109" s="1"/>
      <c r="Z109" s="1"/>
    </row>
    <row r="110" spans="1:26" ht="12.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8" customHeight="1">
      <c r="A111" s="76" t="str">
        <f>IF($D$13="English","Calibration Counter C:","Kalibrierzähler C:")</f>
        <v>Calibration Counter C:</v>
      </c>
      <c r="B111" s="1"/>
      <c r="C111" s="1"/>
      <c r="D111" s="1"/>
      <c r="E111" s="253"/>
      <c r="F111" s="216"/>
      <c r="G111" s="17"/>
      <c r="H111" s="41"/>
      <c r="I111" s="41"/>
      <c r="J111" s="41"/>
      <c r="K111" s="41"/>
      <c r="L111" s="73"/>
      <c r="M111" s="73"/>
      <c r="N111" s="1"/>
      <c r="O111" s="1"/>
      <c r="P111" s="1"/>
      <c r="Q111" s="1"/>
      <c r="R111" s="1"/>
      <c r="S111" s="1"/>
      <c r="T111" s="1"/>
      <c r="U111" s="1"/>
      <c r="V111" s="1"/>
      <c r="W111" s="1"/>
      <c r="X111" s="1"/>
      <c r="Y111" s="1"/>
      <c r="Z111" s="1"/>
    </row>
    <row r="112" spans="1:26" ht="12.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c r="A113" s="78"/>
      <c r="B113" s="78" t="str">
        <f>IF($D$13="English","Note:  If the scale  fails any test, it should not be used!","Anmerkung: Falls ein Test nicht bestanden ist, ist die Waage nicht eichfähig!")</f>
        <v>Note:  If the scale  fails any test, it should not be used!</v>
      </c>
      <c r="C113" s="74"/>
      <c r="D113" s="41"/>
      <c r="E113" s="41"/>
      <c r="F113" s="41"/>
      <c r="G113" s="17"/>
      <c r="H113" s="41"/>
      <c r="I113" s="41"/>
      <c r="J113" s="41"/>
      <c r="K113" s="41"/>
      <c r="L113" s="73"/>
      <c r="M113" s="73"/>
      <c r="N113" s="1"/>
      <c r="O113" s="1"/>
      <c r="P113" s="1"/>
      <c r="Q113" s="1"/>
      <c r="R113" s="1"/>
      <c r="S113" s="1"/>
      <c r="T113" s="1"/>
      <c r="U113" s="1"/>
      <c r="V113" s="1"/>
      <c r="W113" s="1"/>
      <c r="X113" s="1"/>
      <c r="Y113" s="1"/>
      <c r="Z113" s="1"/>
    </row>
    <row r="114" spans="1:26" ht="12"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ciXUceFF2p7veGqzy2YNVRuF6Z5LxfUW4ixg2XLy3pcRsEUEmPEbqZKUmdsmPpORA21Eeom3VSIPRuY751MAHQ==" saltValue="WViXvH2uPWNmzYyjTnvSAQ==" spinCount="100000" sheet="1" objects="1" scenarios="1"/>
  <mergeCells count="207">
    <mergeCell ref="E74:F74"/>
    <mergeCell ref="G74:H74"/>
    <mergeCell ref="F97:G97"/>
    <mergeCell ref="H97:I97"/>
    <mergeCell ref="A98:B98"/>
    <mergeCell ref="H98:I98"/>
    <mergeCell ref="H99:I99"/>
    <mergeCell ref="A71:C71"/>
    <mergeCell ref="E71:F71"/>
    <mergeCell ref="G71:H71"/>
    <mergeCell ref="I71:J71"/>
    <mergeCell ref="A95:B95"/>
    <mergeCell ref="H95:I95"/>
    <mergeCell ref="H96:I96"/>
    <mergeCell ref="I77:J77"/>
    <mergeCell ref="A78:C78"/>
    <mergeCell ref="E78:F78"/>
    <mergeCell ref="L76:M76"/>
    <mergeCell ref="L77:M77"/>
    <mergeCell ref="L78:M78"/>
    <mergeCell ref="J87:O88"/>
    <mergeCell ref="A72:C72"/>
    <mergeCell ref="A73:C73"/>
    <mergeCell ref="E73:F73"/>
    <mergeCell ref="G73:H73"/>
    <mergeCell ref="I73:J73"/>
    <mergeCell ref="A74:C74"/>
    <mergeCell ref="I74:J74"/>
    <mergeCell ref="A75:C75"/>
    <mergeCell ref="E75:F75"/>
    <mergeCell ref="G75:H75"/>
    <mergeCell ref="I75:J75"/>
    <mergeCell ref="E76:F76"/>
    <mergeCell ref="G76:H76"/>
    <mergeCell ref="I76:J76"/>
    <mergeCell ref="G78:H78"/>
    <mergeCell ref="I78:J78"/>
    <mergeCell ref="A76:C76"/>
    <mergeCell ref="A77:C77"/>
    <mergeCell ref="E77:F77"/>
    <mergeCell ref="G77:H77"/>
    <mergeCell ref="F102:G102"/>
    <mergeCell ref="D105:E105"/>
    <mergeCell ref="D106:E106"/>
    <mergeCell ref="E108:Q108"/>
    <mergeCell ref="E109:Q109"/>
    <mergeCell ref="F92:G92"/>
    <mergeCell ref="F93:G93"/>
    <mergeCell ref="A90:B90"/>
    <mergeCell ref="H90:I90"/>
    <mergeCell ref="A91:B91"/>
    <mergeCell ref="H91:I91"/>
    <mergeCell ref="A92:B92"/>
    <mergeCell ref="H92:I92"/>
    <mergeCell ref="H93:I93"/>
    <mergeCell ref="F95:G95"/>
    <mergeCell ref="F96:G96"/>
    <mergeCell ref="A93:B93"/>
    <mergeCell ref="A94:B94"/>
    <mergeCell ref="F94:G94"/>
    <mergeCell ref="H94:I94"/>
    <mergeCell ref="F98:G98"/>
    <mergeCell ref="F99:G99"/>
    <mergeCell ref="A96:B96"/>
    <mergeCell ref="A97:B97"/>
    <mergeCell ref="E111:F111"/>
    <mergeCell ref="A99:B99"/>
    <mergeCell ref="A100:B100"/>
    <mergeCell ref="F100:G100"/>
    <mergeCell ref="H100:I100"/>
    <mergeCell ref="A101:B101"/>
    <mergeCell ref="F101:G101"/>
    <mergeCell ref="H101:I101"/>
    <mergeCell ref="B45:C45"/>
    <mergeCell ref="B46:C46"/>
    <mergeCell ref="E46:F46"/>
    <mergeCell ref="G46:H46"/>
    <mergeCell ref="I46:J46"/>
    <mergeCell ref="B47:C47"/>
    <mergeCell ref="B48:C48"/>
    <mergeCell ref="B49:C49"/>
    <mergeCell ref="E49:F49"/>
    <mergeCell ref="G49:H49"/>
    <mergeCell ref="I49:J49"/>
    <mergeCell ref="E50:F50"/>
    <mergeCell ref="G50:H50"/>
    <mergeCell ref="I50:J50"/>
    <mergeCell ref="E52:F52"/>
    <mergeCell ref="E53:F53"/>
    <mergeCell ref="E36:G36"/>
    <mergeCell ref="H36:I36"/>
    <mergeCell ref="A37:D37"/>
    <mergeCell ref="E37:G37"/>
    <mergeCell ref="A38:D38"/>
    <mergeCell ref="E38:G38"/>
    <mergeCell ref="G53:H53"/>
    <mergeCell ref="I53:J53"/>
    <mergeCell ref="B50:C50"/>
    <mergeCell ref="B51:C51"/>
    <mergeCell ref="E51:F51"/>
    <mergeCell ref="G51:H51"/>
    <mergeCell ref="I51:J51"/>
    <mergeCell ref="B52:C52"/>
    <mergeCell ref="B53:C53"/>
    <mergeCell ref="G52:H52"/>
    <mergeCell ref="I52:J52"/>
    <mergeCell ref="L5:Q5"/>
    <mergeCell ref="D6:H6"/>
    <mergeCell ref="L6:Q6"/>
    <mergeCell ref="D9:E9"/>
    <mergeCell ref="D10:E10"/>
    <mergeCell ref="L7:Q7"/>
    <mergeCell ref="L9:Q9"/>
    <mergeCell ref="L10:Q10"/>
    <mergeCell ref="L12:Q13"/>
    <mergeCell ref="L8:Q8"/>
    <mergeCell ref="L14:Q15"/>
    <mergeCell ref="J16:K16"/>
    <mergeCell ref="P16:Q16"/>
    <mergeCell ref="E16:H16"/>
    <mergeCell ref="A20:C20"/>
    <mergeCell ref="D20:F20"/>
    <mergeCell ref="G20:H20"/>
    <mergeCell ref="I20:J20"/>
    <mergeCell ref="K20:L20"/>
    <mergeCell ref="J26:L26"/>
    <mergeCell ref="E21:F21"/>
    <mergeCell ref="G21:H21"/>
    <mergeCell ref="B22:C22"/>
    <mergeCell ref="E22:F22"/>
    <mergeCell ref="G22:H22"/>
    <mergeCell ref="I22:J22"/>
    <mergeCell ref="I23:J23"/>
    <mergeCell ref="B23:C23"/>
    <mergeCell ref="B24:C24"/>
    <mergeCell ref="B21:C21"/>
    <mergeCell ref="I21:J21"/>
    <mergeCell ref="E23:F23"/>
    <mergeCell ref="G23:H23"/>
    <mergeCell ref="E24:F24"/>
    <mergeCell ref="G24:H24"/>
    <mergeCell ref="I24:J24"/>
    <mergeCell ref="G25:H25"/>
    <mergeCell ref="I25:J25"/>
    <mergeCell ref="A29:D29"/>
    <mergeCell ref="E29:G29"/>
    <mergeCell ref="H29:I29"/>
    <mergeCell ref="A30:D30"/>
    <mergeCell ref="E30:G30"/>
    <mergeCell ref="K43:L43"/>
    <mergeCell ref="M43:O43"/>
    <mergeCell ref="M44:O44"/>
    <mergeCell ref="M45:O45"/>
    <mergeCell ref="E45:F45"/>
    <mergeCell ref="G45:H45"/>
    <mergeCell ref="I45:J45"/>
    <mergeCell ref="A41:H42"/>
    <mergeCell ref="A43:C43"/>
    <mergeCell ref="D43:F43"/>
    <mergeCell ref="G43:H43"/>
    <mergeCell ref="I43:J43"/>
    <mergeCell ref="B44:C44"/>
    <mergeCell ref="E44:F44"/>
    <mergeCell ref="G44:H44"/>
    <mergeCell ref="I44:J44"/>
    <mergeCell ref="A31:D31"/>
    <mergeCell ref="E31:G31"/>
    <mergeCell ref="A36:D36"/>
    <mergeCell ref="M46:O46"/>
    <mergeCell ref="M47:O47"/>
    <mergeCell ref="M48:O48"/>
    <mergeCell ref="M49:O49"/>
    <mergeCell ref="M50:O50"/>
    <mergeCell ref="M51:O51"/>
    <mergeCell ref="M52:O52"/>
    <mergeCell ref="M53:O53"/>
    <mergeCell ref="A56:P57"/>
    <mergeCell ref="G47:H47"/>
    <mergeCell ref="I47:J47"/>
    <mergeCell ref="E47:F47"/>
    <mergeCell ref="E48:F48"/>
    <mergeCell ref="G48:H48"/>
    <mergeCell ref="I48:J48"/>
    <mergeCell ref="L75:M75"/>
    <mergeCell ref="A65:P66"/>
    <mergeCell ref="G69:H69"/>
    <mergeCell ref="I69:J69"/>
    <mergeCell ref="L69:M69"/>
    <mergeCell ref="E69:F69"/>
    <mergeCell ref="E70:F70"/>
    <mergeCell ref="G70:H70"/>
    <mergeCell ref="I70:J70"/>
    <mergeCell ref="L70:M70"/>
    <mergeCell ref="C67:D67"/>
    <mergeCell ref="A68:C68"/>
    <mergeCell ref="E68:F68"/>
    <mergeCell ref="G68:H68"/>
    <mergeCell ref="I68:K68"/>
    <mergeCell ref="A69:C69"/>
    <mergeCell ref="A70:C70"/>
    <mergeCell ref="L71:M71"/>
    <mergeCell ref="E72:F72"/>
    <mergeCell ref="L72:M72"/>
    <mergeCell ref="L73:M73"/>
    <mergeCell ref="L74:M74"/>
    <mergeCell ref="G72:H72"/>
    <mergeCell ref="I72:J72"/>
  </mergeCells>
  <dataValidations count="4">
    <dataValidation type="list" allowBlank="1" showInputMessage="1" showErrorMessage="1" prompt="X or nothing" sqref="H105" xr:uid="{00000000-0002-0000-0300-000000000000}">
      <formula1>"X"</formula1>
    </dataValidation>
    <dataValidation type="list" allowBlank="1" showErrorMessage="1" sqref="D13:D15" xr:uid="{00000000-0002-0000-0300-000001000000}">
      <formula1>"English,Deutsch"</formula1>
    </dataValidation>
    <dataValidation type="list" allowBlank="1" showInputMessage="1" showErrorMessage="1" prompt="Y or N" sqref="N11 Q88" xr:uid="{00000000-0002-0000-0300-000002000000}">
      <formula1>"Y,N"</formula1>
    </dataValidation>
    <dataValidation type="list" allowBlank="1" showInputMessage="1" showErrorMessage="1" prompt="&lt;=4 , 6 , 8  or 10" sqref="G88" xr:uid="{00000000-0002-0000-0300-000003000000}">
      <formula1>"4,6,8,10"</formula1>
    </dataValidation>
  </dataValidations>
  <pageMargins left="0.70866141732283472" right="0.70866141732283472" top="0.78740157480314965" bottom="0.78740157480314965" header="0" footer="0"/>
  <pageSetup paperSize="9" scale="95" orientation="portrait" r:id="rId1"/>
  <headerFooter>
    <oddFooter>&amp;L&amp;F&amp;CPage &amp;P / &amp;R&amp;D</oddFooter>
  </headerFooter>
  <rowBreaks count="1" manualBreakCount="1">
    <brk id="60" max="16383" man="1"/>
  </rowBreaks>
  <colBreaks count="1" manualBreakCount="1">
    <brk id="17"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Z1000"/>
  <sheetViews>
    <sheetView view="pageBreakPreview" zoomScaleNormal="100" zoomScaleSheetLayoutView="100" workbookViewId="0">
      <selection activeCell="N18" sqref="N18"/>
    </sheetView>
  </sheetViews>
  <sheetFormatPr defaultColWidth="12.5703125" defaultRowHeight="15" customHeight="1"/>
  <cols>
    <col min="1" max="1" width="5.28515625" customWidth="1"/>
    <col min="2" max="2" width="6.28515625" customWidth="1"/>
    <col min="3" max="4" width="5.85546875" customWidth="1"/>
    <col min="5" max="5" width="8.85546875" customWidth="1"/>
    <col min="6" max="6" width="5.7109375" customWidth="1"/>
    <col min="7" max="7" width="6.28515625" customWidth="1"/>
    <col min="8" max="8" width="6.5703125" customWidth="1"/>
    <col min="9" max="9" width="5.7109375" customWidth="1"/>
    <col min="10" max="10" width="6.85546875" customWidth="1"/>
    <col min="11" max="11" width="5.85546875" customWidth="1"/>
    <col min="12" max="12" width="4.42578125" customWidth="1"/>
    <col min="13" max="14" width="3.85546875" customWidth="1"/>
    <col min="15" max="15" width="4" customWidth="1"/>
    <col min="16" max="17" width="3.7109375" customWidth="1"/>
    <col min="18" max="26" width="9.140625" customWidth="1"/>
  </cols>
  <sheetData>
    <row r="1" spans="1:26" s="204" customFormat="1" ht="18" customHeight="1">
      <c r="A1" s="206"/>
      <c r="B1" s="206"/>
      <c r="C1" s="206"/>
      <c r="D1" s="206"/>
      <c r="E1" s="206"/>
      <c r="F1" s="206"/>
      <c r="G1" s="203"/>
      <c r="H1" s="203"/>
      <c r="I1" s="203"/>
      <c r="J1" s="203"/>
      <c r="K1" s="203"/>
      <c r="L1" s="203"/>
      <c r="M1" s="203"/>
      <c r="N1" s="203"/>
      <c r="O1" s="203"/>
      <c r="P1" s="203"/>
      <c r="Q1" s="191" t="str">
        <f>IF($D$13="English","Test Report - Single Range &lt; 1 t","Test Report - Einbereich &lt; 1 t")</f>
        <v>Test Report - Single Range &lt; 1 t</v>
      </c>
      <c r="R1" s="203"/>
      <c r="S1" s="203"/>
      <c r="T1" s="203"/>
      <c r="U1" s="203"/>
      <c r="V1" s="203"/>
      <c r="W1" s="203"/>
      <c r="X1" s="203"/>
      <c r="Y1" s="203"/>
      <c r="Z1" s="203"/>
    </row>
    <row r="2" spans="1:26" s="204" customFormat="1" ht="18" customHeight="1">
      <c r="A2" s="206"/>
      <c r="B2" s="206"/>
      <c r="C2" s="206"/>
      <c r="D2" s="206"/>
      <c r="E2" s="206"/>
      <c r="F2" s="206"/>
      <c r="G2" s="203"/>
      <c r="H2" s="203"/>
      <c r="I2" s="203"/>
      <c r="J2" s="203"/>
      <c r="K2" s="203"/>
      <c r="L2" s="203"/>
      <c r="M2" s="203"/>
      <c r="N2" s="203"/>
      <c r="O2" s="203"/>
      <c r="P2" s="203"/>
      <c r="Q2" s="191" t="str">
        <f>IF($D$13="English","with gravity compensation","mit Kompensation von g")</f>
        <v>with gravity compensation</v>
      </c>
      <c r="R2" s="203"/>
      <c r="S2" s="203"/>
      <c r="T2" s="203"/>
      <c r="U2" s="203"/>
      <c r="V2" s="203"/>
      <c r="W2" s="203"/>
      <c r="X2" s="203"/>
      <c r="Y2" s="203"/>
      <c r="Z2" s="203"/>
    </row>
    <row r="3" spans="1:26" ht="12" customHeight="1">
      <c r="A3" s="207"/>
      <c r="B3" s="207"/>
      <c r="C3" s="207"/>
      <c r="D3" s="207"/>
      <c r="E3" s="207"/>
      <c r="F3" s="207"/>
      <c r="G3" s="1"/>
      <c r="H3" s="1"/>
      <c r="I3" s="1"/>
      <c r="J3" s="1" t="str">
        <f>IF($D$13="English","Accuracy Class","Genauigkeitsklasse")</f>
        <v>Accuracy Class</v>
      </c>
      <c r="K3" s="1"/>
      <c r="L3" s="1"/>
      <c r="M3" s="1" t="s">
        <v>4</v>
      </c>
      <c r="N3" s="1"/>
      <c r="O3" s="4"/>
      <c r="P3" s="5"/>
      <c r="Q3" s="4"/>
      <c r="R3" s="1"/>
      <c r="S3" s="1"/>
      <c r="T3" s="1"/>
      <c r="U3" s="1"/>
      <c r="V3" s="1"/>
      <c r="W3" s="1"/>
      <c r="X3" s="1"/>
      <c r="Y3" s="1"/>
      <c r="Z3" s="1"/>
    </row>
    <row r="4" spans="1:26" ht="12" customHeight="1">
      <c r="A4" s="209"/>
      <c r="B4" s="209"/>
      <c r="C4" s="209"/>
      <c r="D4" s="208"/>
      <c r="E4" s="208"/>
      <c r="F4" s="208"/>
      <c r="G4" s="1"/>
      <c r="H4" s="1"/>
      <c r="I4" s="1"/>
      <c r="J4" s="1"/>
      <c r="K4" s="1"/>
      <c r="L4" s="1"/>
      <c r="M4" s="1"/>
      <c r="N4" s="1"/>
      <c r="O4" s="1"/>
      <c r="P4" s="6"/>
      <c r="Q4" s="1"/>
      <c r="R4" s="1"/>
      <c r="S4" s="1"/>
      <c r="T4" s="1"/>
      <c r="U4" s="1"/>
      <c r="V4" s="1"/>
      <c r="W4" s="1"/>
      <c r="X4" s="1"/>
      <c r="Y4" s="1"/>
      <c r="Z4" s="1"/>
    </row>
    <row r="5" spans="1:26" ht="12" customHeight="1">
      <c r="A5" s="5"/>
      <c r="B5" s="1"/>
      <c r="C5" s="1"/>
      <c r="D5" s="1"/>
      <c r="E5" s="1"/>
      <c r="F5" s="1"/>
      <c r="G5" s="1"/>
      <c r="H5" s="1"/>
      <c r="I5" s="1"/>
      <c r="J5" s="1"/>
      <c r="K5" s="9" t="str">
        <f>IF($D$13="English","Test Date:","Testdatum")</f>
        <v>Test Date:</v>
      </c>
      <c r="L5" s="243"/>
      <c r="M5" s="215"/>
      <c r="N5" s="215"/>
      <c r="O5" s="215"/>
      <c r="P5" s="215"/>
      <c r="Q5" s="216"/>
      <c r="R5" s="1"/>
      <c r="S5" s="1"/>
      <c r="T5" s="1"/>
      <c r="U5" s="1"/>
      <c r="V5" s="1"/>
      <c r="W5" s="1"/>
      <c r="X5" s="1"/>
      <c r="Y5" s="1"/>
      <c r="Z5" s="1"/>
    </row>
    <row r="6" spans="1:26" ht="12" customHeight="1">
      <c r="A6" s="1"/>
      <c r="B6" s="1"/>
      <c r="C6" s="9" t="str">
        <f>IF($D$13="English","Part No.:","Modell Nr.")</f>
        <v>Part No.:</v>
      </c>
      <c r="D6" s="275"/>
      <c r="E6" s="215"/>
      <c r="F6" s="215"/>
      <c r="G6" s="215"/>
      <c r="H6" s="216"/>
      <c r="I6" s="1"/>
      <c r="J6" s="1"/>
      <c r="K6" s="9" t="str">
        <f>IF($D$13="English","Test Officer:","RVO")</f>
        <v>Test Officer:</v>
      </c>
      <c r="L6" s="214"/>
      <c r="M6" s="215"/>
      <c r="N6" s="215"/>
      <c r="O6" s="215"/>
      <c r="P6" s="215"/>
      <c r="Q6" s="216"/>
      <c r="R6" s="1"/>
      <c r="S6" s="1"/>
      <c r="T6" s="1"/>
      <c r="U6" s="1"/>
      <c r="V6" s="1"/>
      <c r="W6" s="1"/>
      <c r="X6" s="1"/>
      <c r="Y6" s="1"/>
      <c r="Z6" s="1"/>
    </row>
    <row r="7" spans="1:26" ht="12" customHeight="1">
      <c r="A7" s="1"/>
      <c r="B7" s="1"/>
      <c r="G7" s="1"/>
      <c r="H7" s="1"/>
      <c r="I7" s="1"/>
      <c r="J7" s="1"/>
      <c r="K7" s="9" t="str">
        <f>IF($D$13="English","Scale No.","Waagen S/N.")</f>
        <v>Scale No.</v>
      </c>
      <c r="L7" s="214"/>
      <c r="M7" s="215"/>
      <c r="N7" s="215"/>
      <c r="O7" s="215"/>
      <c r="P7" s="215"/>
      <c r="Q7" s="216"/>
      <c r="R7" s="1"/>
      <c r="S7" s="1"/>
      <c r="T7" s="1"/>
      <c r="U7" s="1"/>
      <c r="V7" s="1"/>
      <c r="W7" s="1"/>
      <c r="X7" s="1"/>
      <c r="Y7" s="1"/>
      <c r="Z7" s="1"/>
    </row>
    <row r="8" spans="1:26" ht="12" customHeight="1">
      <c r="A8" s="1"/>
      <c r="B8" s="1"/>
      <c r="G8" s="1"/>
      <c r="H8" s="1"/>
      <c r="I8" s="1"/>
      <c r="J8" s="1"/>
      <c r="K8" s="9" t="str">
        <f>IF($D$13="English","Indicator S/N.","Waagen S/N.")</f>
        <v>Indicator S/N.</v>
      </c>
      <c r="L8" s="214"/>
      <c r="M8" s="215"/>
      <c r="N8" s="215"/>
      <c r="O8" s="215"/>
      <c r="P8" s="215"/>
      <c r="Q8" s="216"/>
      <c r="R8" s="1"/>
      <c r="S8" s="1"/>
      <c r="T8" s="1"/>
      <c r="U8" s="1"/>
      <c r="V8" s="1"/>
      <c r="W8" s="1"/>
      <c r="X8" s="1"/>
      <c r="Y8" s="1"/>
      <c r="Z8" s="1"/>
    </row>
    <row r="9" spans="1:26" ht="12" customHeight="1">
      <c r="A9" s="1"/>
      <c r="B9" s="1"/>
      <c r="C9" s="6" t="s">
        <v>98</v>
      </c>
      <c r="D9" s="241"/>
      <c r="E9" s="216"/>
      <c r="F9" s="1" t="s">
        <v>11</v>
      </c>
      <c r="G9" s="1"/>
      <c r="H9" s="1"/>
      <c r="I9" s="1"/>
      <c r="J9" s="1"/>
      <c r="K9" s="9" t="str">
        <f>IF($D$13="English","TAC(Type Approval Certificate) Indicator","Bauartzulassung Wägeelektronik")</f>
        <v>TAC(Type Approval Certificate) Indicator</v>
      </c>
      <c r="L9" s="214"/>
      <c r="M9" s="215"/>
      <c r="N9" s="215"/>
      <c r="O9" s="215"/>
      <c r="P9" s="215"/>
      <c r="Q9" s="216"/>
      <c r="R9" s="1"/>
      <c r="S9" s="1"/>
      <c r="T9" s="1"/>
      <c r="U9" s="1"/>
      <c r="V9" s="1"/>
      <c r="W9" s="1"/>
      <c r="X9" s="1"/>
      <c r="Y9" s="1"/>
      <c r="Z9" s="1"/>
    </row>
    <row r="10" spans="1:26" ht="12" customHeight="1">
      <c r="A10" s="1"/>
      <c r="B10" s="1"/>
      <c r="C10" s="6" t="s">
        <v>99</v>
      </c>
      <c r="D10" s="242"/>
      <c r="E10" s="216"/>
      <c r="F10" s="1" t="s">
        <v>11</v>
      </c>
      <c r="G10" s="1"/>
      <c r="H10" s="1"/>
      <c r="I10" s="1"/>
      <c r="J10" s="1"/>
      <c r="K10" s="9" t="str">
        <f>IF($D$13="English","Firmware type and version:","Wägeelektronik Programm und Version")</f>
        <v>Firmware type and version:</v>
      </c>
      <c r="L10" s="214"/>
      <c r="M10" s="215"/>
      <c r="N10" s="215"/>
      <c r="O10" s="215"/>
      <c r="P10" s="215"/>
      <c r="Q10" s="216"/>
      <c r="R10" s="1"/>
      <c r="S10" s="1"/>
      <c r="T10" s="1"/>
      <c r="U10" s="1"/>
      <c r="V10" s="1"/>
      <c r="W10" s="1"/>
      <c r="X10" s="1"/>
      <c r="Y10" s="1"/>
      <c r="Z10" s="1"/>
    </row>
    <row r="11" spans="1:26" ht="12" customHeight="1">
      <c r="A11" s="1"/>
      <c r="B11" s="1"/>
      <c r="C11" s="6"/>
      <c r="D11" s="1"/>
      <c r="E11" s="1"/>
      <c r="F11" s="1"/>
      <c r="G11" s="1"/>
      <c r="H11" s="1"/>
      <c r="I11" s="1"/>
      <c r="J11" s="6"/>
      <c r="K11" s="6"/>
      <c r="L11" s="1"/>
      <c r="M11" s="120" t="str">
        <f>IF($D$13="English","Test Weight Calibrations Current?","Standardgewichte kalibriert?")</f>
        <v>Test Weight Calibrations Current?</v>
      </c>
      <c r="N11" s="181"/>
      <c r="O11" s="1"/>
      <c r="P11" s="1"/>
      <c r="Q11" s="1"/>
      <c r="R11" s="1"/>
      <c r="S11" s="1"/>
      <c r="T11" s="1"/>
      <c r="U11" s="1"/>
      <c r="V11" s="1"/>
      <c r="W11" s="1"/>
      <c r="X11" s="1"/>
      <c r="Y11" s="1"/>
      <c r="Z11" s="1"/>
    </row>
    <row r="12" spans="1:26" ht="12" customHeight="1">
      <c r="A12" s="1"/>
      <c r="B12" s="1"/>
      <c r="C12" s="1"/>
      <c r="D12" s="1"/>
      <c r="E12" s="1"/>
      <c r="F12" s="1"/>
      <c r="G12" s="1"/>
      <c r="H12" s="1"/>
      <c r="K12" s="9" t="str">
        <f>IF($D$13="English","Set-No. of Standard-Weights in use","Set-Nr. der Standardgewichte")</f>
        <v>Set-No. of Standard-Weights in use</v>
      </c>
      <c r="L12" s="247"/>
      <c r="M12" s="248"/>
      <c r="N12" s="248"/>
      <c r="O12" s="248"/>
      <c r="P12" s="248"/>
      <c r="Q12" s="249"/>
      <c r="R12" s="1"/>
      <c r="S12" s="1"/>
      <c r="T12" s="1"/>
      <c r="U12" s="1"/>
      <c r="V12" s="1"/>
      <c r="W12" s="1"/>
      <c r="X12" s="1"/>
      <c r="Y12" s="1"/>
      <c r="Z12" s="1"/>
    </row>
    <row r="13" spans="1:26" ht="12" customHeight="1">
      <c r="A13" s="14" t="s">
        <v>19</v>
      </c>
      <c r="B13" s="1"/>
      <c r="C13" s="1"/>
      <c r="D13" s="15" t="s">
        <v>0</v>
      </c>
      <c r="E13" s="1"/>
      <c r="F13" s="1"/>
      <c r="G13" s="1"/>
      <c r="H13" s="1"/>
      <c r="L13" s="250"/>
      <c r="M13" s="251"/>
      <c r="N13" s="251"/>
      <c r="O13" s="251"/>
      <c r="P13" s="251"/>
      <c r="Q13" s="252"/>
      <c r="R13" s="1"/>
      <c r="S13" s="1"/>
      <c r="T13" s="1"/>
      <c r="U13" s="1"/>
      <c r="V13" s="1"/>
      <c r="W13" s="1"/>
      <c r="X13" s="1"/>
      <c r="Y13" s="1"/>
      <c r="Z13" s="1"/>
    </row>
    <row r="14" spans="1:26" ht="12" customHeight="1">
      <c r="A14" s="14"/>
      <c r="B14" s="1"/>
      <c r="C14" s="1"/>
      <c r="D14" s="16"/>
      <c r="E14" s="1"/>
      <c r="F14" s="1"/>
      <c r="G14" s="1"/>
      <c r="H14" s="1"/>
      <c r="K14" s="9" t="str">
        <f>IF($D$13="English","Set-No. Small Weights in use","Set-Nr. der kleinen Gewichte")</f>
        <v>Set-No. Small Weights in use</v>
      </c>
      <c r="L14" s="247"/>
      <c r="M14" s="248"/>
      <c r="N14" s="248"/>
      <c r="O14" s="248"/>
      <c r="P14" s="248"/>
      <c r="Q14" s="249"/>
      <c r="R14" s="1"/>
      <c r="S14" s="1"/>
      <c r="T14" s="1"/>
      <c r="U14" s="1"/>
      <c r="V14" s="1"/>
      <c r="W14" s="1"/>
      <c r="X14" s="1"/>
      <c r="Y14" s="1"/>
      <c r="Z14" s="1"/>
    </row>
    <row r="15" spans="1:26" ht="12" customHeight="1">
      <c r="A15" s="14"/>
      <c r="B15" s="1"/>
      <c r="C15" s="1"/>
      <c r="D15" s="16"/>
      <c r="E15" s="1"/>
      <c r="F15" s="1"/>
      <c r="G15" s="1"/>
      <c r="H15" s="1"/>
      <c r="K15" s="1"/>
      <c r="L15" s="250"/>
      <c r="M15" s="251"/>
      <c r="N15" s="251"/>
      <c r="O15" s="251"/>
      <c r="P15" s="251"/>
      <c r="Q15" s="252"/>
      <c r="R15" s="1"/>
      <c r="S15" s="1"/>
      <c r="T15" s="1"/>
      <c r="U15" s="1"/>
      <c r="V15" s="1"/>
      <c r="W15" s="1"/>
      <c r="X15" s="1"/>
      <c r="Y15" s="1"/>
      <c r="Z15" s="1"/>
    </row>
    <row r="16" spans="1:26" ht="17.25" customHeight="1">
      <c r="A16" s="7" t="str">
        <f>IF($D$13="English","Load Cell","Wägezelle")</f>
        <v>Load Cell</v>
      </c>
      <c r="B16" s="1"/>
      <c r="C16" s="1" t="str">
        <f>IF($D$13="English","Manufacturer","Hersteller")</f>
        <v>Manufacturer</v>
      </c>
      <c r="D16" s="6"/>
      <c r="E16" s="240"/>
      <c r="F16" s="215"/>
      <c r="G16" s="215"/>
      <c r="H16" s="216"/>
      <c r="I16" s="1" t="s">
        <v>22</v>
      </c>
      <c r="J16" s="253"/>
      <c r="K16" s="216"/>
      <c r="L16" s="1" t="str">
        <f>IF($D$13="English","Total number:","Gesamtanzahl:")</f>
        <v>Total number:</v>
      </c>
      <c r="M16" s="6"/>
      <c r="N16" s="6"/>
      <c r="O16" s="1"/>
      <c r="P16" s="301"/>
      <c r="Q16" s="302"/>
      <c r="R16" s="1"/>
      <c r="S16" s="1"/>
      <c r="T16" s="1"/>
      <c r="U16" s="1"/>
      <c r="V16" s="1"/>
      <c r="W16" s="1"/>
      <c r="X16" s="1"/>
      <c r="Y16" s="1"/>
      <c r="Z16" s="1"/>
    </row>
    <row r="17" spans="1:26" ht="12" customHeight="1">
      <c r="A17" s="1"/>
      <c r="B17" s="1"/>
      <c r="C17" s="1"/>
      <c r="D17" s="1"/>
      <c r="E17" s="1"/>
      <c r="F17" s="1"/>
      <c r="G17" s="6"/>
      <c r="J17" s="17"/>
      <c r="K17" s="1"/>
      <c r="L17" s="1"/>
      <c r="M17" s="1"/>
      <c r="N17" s="1"/>
      <c r="O17" s="1"/>
      <c r="P17" s="1"/>
      <c r="Q17" s="1"/>
      <c r="R17" s="1" t="s">
        <v>104</v>
      </c>
      <c r="S17" s="1"/>
      <c r="T17" s="1"/>
      <c r="U17" s="1"/>
      <c r="V17" s="1"/>
      <c r="W17" s="1"/>
      <c r="X17" s="1"/>
      <c r="Y17" s="1"/>
      <c r="Z17" s="1"/>
    </row>
    <row r="18" spans="1:26" ht="12" customHeight="1">
      <c r="A18" s="1" t="str">
        <f>IF($D$13="English","location of Verification: M= Manufacturer site - I=Installation site","Ort der Eichung: M=beim Hersteller - I=am Aufstellungsort")</f>
        <v>location of Verification: M= Manufacturer site - I=Installation site</v>
      </c>
      <c r="B18" s="1"/>
      <c r="C18" s="1"/>
      <c r="D18" s="1"/>
      <c r="E18" s="1"/>
      <c r="F18" s="1"/>
      <c r="G18" s="6"/>
      <c r="J18" s="183" t="s">
        <v>27</v>
      </c>
      <c r="K18" s="1"/>
      <c r="L18" s="1"/>
      <c r="M18" s="1"/>
      <c r="N18" s="1"/>
      <c r="O18" s="1"/>
      <c r="P18" s="1"/>
      <c r="Q18" s="1"/>
      <c r="R18" s="1" t="s">
        <v>27</v>
      </c>
      <c r="S18" s="1"/>
      <c r="T18" s="1"/>
      <c r="U18" s="1"/>
      <c r="V18" s="1"/>
      <c r="W18" s="1"/>
      <c r="X18" s="1"/>
      <c r="Y18" s="1"/>
      <c r="Z18" s="1"/>
    </row>
    <row r="19" spans="1:26" ht="12" customHeight="1">
      <c r="A19" s="1" t="str">
        <f>IF($D$13="English","link to calculate g:",IF($D$13="Deutsch","Link zum Ermitteln von g:"," "))</f>
        <v>link to calculate g:</v>
      </c>
      <c r="B19" s="1"/>
      <c r="C19" s="1"/>
      <c r="D19" s="1"/>
      <c r="E19" s="1" t="s">
        <v>105</v>
      </c>
      <c r="F19" s="1"/>
      <c r="G19" s="6"/>
      <c r="L19" s="1"/>
      <c r="M19" s="1"/>
      <c r="N19" s="1"/>
      <c r="O19" s="1"/>
      <c r="P19" s="1"/>
      <c r="Q19" s="1"/>
      <c r="R19" s="1"/>
      <c r="S19" s="1"/>
      <c r="T19" s="1"/>
      <c r="U19" s="1"/>
      <c r="V19" s="1"/>
      <c r="W19" s="1"/>
      <c r="X19" s="1"/>
      <c r="Y19" s="1"/>
      <c r="Z19" s="1"/>
    </row>
    <row r="20" spans="1:26" ht="12" customHeight="1">
      <c r="A20" s="1" t="str">
        <f>IF($D$13="English",IF($J$18="M","Manufacturer town:"," "),IF($D$13="Deutsch",IF($J$18="M","Hersteller/Prüfungsort:"," ")))</f>
        <v xml:space="preserve"> </v>
      </c>
      <c r="B20" s="1"/>
      <c r="C20" s="1"/>
      <c r="D20" s="310"/>
      <c r="E20" s="215"/>
      <c r="F20" s="215"/>
      <c r="G20" s="216"/>
      <c r="H20" s="1" t="str">
        <f>IF($D$13="English",IF($J$18="M","Installation town:"," "),IF($D$13="Deutsch",IF($J$18="M","Aufstellungsort:"," ")))</f>
        <v xml:space="preserve"> </v>
      </c>
      <c r="I20" s="1"/>
      <c r="J20" s="1"/>
      <c r="K20" s="315"/>
      <c r="L20" s="215"/>
      <c r="M20" s="215"/>
      <c r="N20" s="215"/>
      <c r="O20" s="215"/>
      <c r="P20" s="215"/>
      <c r="Q20" s="216"/>
      <c r="R20" s="1"/>
      <c r="S20" s="1"/>
      <c r="T20" s="1"/>
      <c r="U20" s="1"/>
      <c r="V20" s="1"/>
      <c r="W20" s="1"/>
      <c r="X20" s="1"/>
      <c r="Y20" s="1"/>
      <c r="Z20" s="1"/>
    </row>
    <row r="21" spans="1:26" ht="12" customHeight="1">
      <c r="A21" s="1" t="str">
        <f>IF($D$13="English",IF($J$18="M","g at Manufacturer site:","no info needed "),IF($D$13="Deutsch",IF($J$18="M","g Hersteller/Prüfung:","keine Info notwendig")))</f>
        <v xml:space="preserve">no info needed </v>
      </c>
      <c r="B21" s="1"/>
      <c r="C21" s="1"/>
      <c r="D21" s="311"/>
      <c r="E21" s="216"/>
      <c r="F21" s="7" t="s">
        <v>106</v>
      </c>
      <c r="G21" s="6"/>
      <c r="H21" s="1" t="str">
        <f>IF($D$13="English",IF($J$18="M","g at Installation site:"," "),IF($D$13="Deutsch",IF($J$18="M","g am Aufstellungsort:"," ")))</f>
        <v xml:space="preserve"> </v>
      </c>
      <c r="J21" s="17"/>
      <c r="K21" s="316"/>
      <c r="L21" s="302"/>
      <c r="M21" s="7" t="s">
        <v>107</v>
      </c>
      <c r="N21" s="1"/>
      <c r="O21" s="1"/>
      <c r="P21" s="1"/>
      <c r="Q21" s="1"/>
      <c r="R21" s="1"/>
      <c r="S21" s="1"/>
      <c r="T21" s="1"/>
      <c r="U21" s="1"/>
      <c r="V21" s="1"/>
      <c r="W21" s="1"/>
      <c r="X21" s="1"/>
      <c r="Y21" s="1"/>
      <c r="Z21" s="1"/>
    </row>
    <row r="22" spans="1:26" ht="12" customHeight="1">
      <c r="A22" s="1" t="str">
        <f>IF($D$13="English",IF($J$18="M","weight control:"," "),IF($D$13="Deutsch",IF($J$18="M","Gewichtskontrolle:"," ")))</f>
        <v xml:space="preserve"> </v>
      </c>
      <c r="B22" s="1"/>
      <c r="C22" s="1"/>
      <c r="D22" s="1" t="str">
        <f>IF($D$13="English",IF($J$18="M","standard weights:"," "),IF($D$13="Deutsch",IF($J$18="M","Kalibriergewicht:"," ")))</f>
        <v xml:space="preserve"> </v>
      </c>
      <c r="E22" s="1"/>
      <c r="F22" s="312"/>
      <c r="G22" s="313"/>
      <c r="H22" s="30" t="s">
        <v>33</v>
      </c>
      <c r="J22" s="1" t="str">
        <f>IF($D$13="English",IF($J$18="M","calculated weight:"," "),IF($D$13="Deutsch",IF($J$18="M","umgerechnetes Gewicht:"," ")))</f>
        <v xml:space="preserve"> </v>
      </c>
      <c r="K22" s="1"/>
      <c r="L22" s="1"/>
      <c r="M22" s="1"/>
      <c r="N22" s="317" t="str">
        <f>IF(F22=""," ",F22*(1-($K$21-$D$21)/$D$21))</f>
        <v xml:space="preserve"> </v>
      </c>
      <c r="O22" s="318"/>
      <c r="P22" s="313"/>
      <c r="Q22" s="30" t="s">
        <v>33</v>
      </c>
      <c r="R22" s="1"/>
      <c r="S22" s="1"/>
      <c r="T22" s="1"/>
      <c r="U22" s="1"/>
      <c r="V22" s="1"/>
      <c r="W22" s="1"/>
      <c r="X22" s="1"/>
      <c r="Y22" s="1"/>
      <c r="Z22" s="1"/>
    </row>
    <row r="23" spans="1:26" ht="12" customHeight="1">
      <c r="A23" s="1"/>
      <c r="B23" s="1"/>
      <c r="C23" s="1"/>
      <c r="D23" s="1"/>
      <c r="E23" s="1"/>
      <c r="F23" s="1"/>
      <c r="G23" s="6"/>
      <c r="J23" s="17"/>
      <c r="K23" s="1"/>
      <c r="L23" s="1"/>
      <c r="M23" s="1"/>
      <c r="N23" s="1"/>
      <c r="O23" s="1"/>
      <c r="P23" s="1"/>
      <c r="Q23" s="1"/>
      <c r="R23" s="1"/>
      <c r="S23" s="1"/>
      <c r="T23" s="1"/>
      <c r="U23" s="1"/>
      <c r="V23" s="1"/>
      <c r="W23" s="1"/>
      <c r="X23" s="1"/>
      <c r="Y23" s="1"/>
      <c r="Z23" s="1"/>
    </row>
    <row r="24" spans="1:26" ht="12" customHeight="1">
      <c r="A24" s="128" t="str">
        <f>IF($J$18="M","L calc = calculated load at Testing Site"," ")</f>
        <v xml:space="preserve"> </v>
      </c>
      <c r="B24" s="1"/>
      <c r="C24" s="1"/>
      <c r="D24" s="1"/>
      <c r="E24" s="1"/>
      <c r="F24" s="1"/>
      <c r="G24" s="6"/>
      <c r="J24" s="17"/>
      <c r="K24" s="1"/>
      <c r="L24" s="1"/>
      <c r="M24" s="1"/>
      <c r="N24" s="1"/>
      <c r="O24" s="1"/>
      <c r="P24" s="1"/>
      <c r="Q24" s="1"/>
      <c r="R24" s="1"/>
      <c r="S24" s="1"/>
      <c r="T24" s="1"/>
      <c r="U24" s="1"/>
      <c r="V24" s="1"/>
      <c r="W24" s="1"/>
      <c r="X24" s="1"/>
      <c r="Y24" s="1"/>
      <c r="Z24" s="1"/>
    </row>
    <row r="25" spans="1:26" ht="12" customHeight="1">
      <c r="A25" s="7" t="str">
        <f>IF($D$13="English","1. Repeatability Test (indicator in hi-res mode):","1. Prüfung der Wiederholbarkeit (Indikator in Hi-Res-Modus):")</f>
        <v>1. Repeatability Test (indicator in hi-res mode):</v>
      </c>
      <c r="B25" s="1"/>
      <c r="C25" s="6"/>
      <c r="D25" s="8"/>
      <c r="E25" s="8"/>
      <c r="F25" s="1"/>
      <c r="G25" s="1"/>
      <c r="H25" s="1" t="str">
        <f>IF($D$13="English","accordance to EN45501-2015, A.4.10","gemäß EN45501-2015, A.4.10")</f>
        <v>accordance to EN45501-2015, A.4.10</v>
      </c>
      <c r="I25" s="1"/>
      <c r="J25" s="1"/>
      <c r="K25" s="6"/>
      <c r="L25" s="6"/>
      <c r="M25" s="6"/>
      <c r="N25" s="1"/>
      <c r="O25" s="1"/>
      <c r="P25" s="1"/>
      <c r="Q25" s="1"/>
      <c r="R25" s="1"/>
      <c r="S25" s="1"/>
      <c r="T25" s="1"/>
      <c r="U25" s="1"/>
      <c r="V25" s="1"/>
      <c r="W25" s="1"/>
      <c r="X25" s="1"/>
      <c r="Y25" s="1"/>
      <c r="Z25" s="1"/>
    </row>
    <row r="26" spans="1:26" ht="12" customHeight="1">
      <c r="A26" s="1" t="str">
        <f>IF($D$13="English","* The zero tracking device may be in operation for the repeatability test.","* Die Nullnachführung darf bei der Prüfung der Wiederholbarkeit eingeschaltet sein")</f>
        <v>* The zero tracking device may be in operation for the repeatability test.</v>
      </c>
      <c r="B26" s="1"/>
      <c r="C26" s="6"/>
      <c r="D26" s="8"/>
      <c r="E26" s="8"/>
      <c r="F26" s="1"/>
      <c r="G26" s="1"/>
      <c r="H26" s="1"/>
      <c r="I26" s="1"/>
      <c r="J26" s="1"/>
      <c r="K26" s="6"/>
      <c r="L26" s="6"/>
      <c r="M26" s="6"/>
      <c r="N26" s="1"/>
      <c r="O26" s="1"/>
      <c r="P26" s="1"/>
      <c r="Q26" s="1"/>
      <c r="R26" s="1"/>
      <c r="S26" s="1"/>
      <c r="T26" s="1"/>
      <c r="U26" s="1"/>
      <c r="V26" s="1"/>
      <c r="W26" s="1"/>
      <c r="X26" s="1"/>
      <c r="Y26" s="1"/>
      <c r="Z26" s="1"/>
    </row>
    <row r="27" spans="1:26" ht="12.75" customHeight="1">
      <c r="A27" s="234" t="str">
        <f>IF($D$13="English","load must be about","ungefähre Last")</f>
        <v>load must be about</v>
      </c>
      <c r="B27" s="223"/>
      <c r="C27" s="220"/>
      <c r="D27" s="231" t="s">
        <v>26</v>
      </c>
      <c r="E27" s="223"/>
      <c r="F27" s="220"/>
      <c r="G27" s="231" t="s">
        <v>27</v>
      </c>
      <c r="H27" s="220"/>
      <c r="I27" s="231" t="s">
        <v>28</v>
      </c>
      <c r="J27" s="220"/>
      <c r="K27" s="231" t="s">
        <v>29</v>
      </c>
      <c r="L27" s="220"/>
      <c r="M27" s="19" t="s">
        <v>30</v>
      </c>
      <c r="N27" s="308" t="str">
        <f>IF($J$18="M","L calc"," ")</f>
        <v xml:space="preserve"> </v>
      </c>
      <c r="O27" s="220"/>
      <c r="P27" s="1"/>
      <c r="Q27" s="1"/>
      <c r="R27" s="88"/>
      <c r="S27" s="1"/>
    </row>
    <row r="28" spans="1:26" ht="12" customHeight="1">
      <c r="A28" s="19" t="s">
        <v>32</v>
      </c>
      <c r="B28" s="231" t="s">
        <v>33</v>
      </c>
      <c r="C28" s="220"/>
      <c r="D28" s="19" t="s">
        <v>32</v>
      </c>
      <c r="E28" s="231" t="s">
        <v>33</v>
      </c>
      <c r="F28" s="220"/>
      <c r="G28" s="231" t="s">
        <v>33</v>
      </c>
      <c r="H28" s="220"/>
      <c r="I28" s="231" t="s">
        <v>33</v>
      </c>
      <c r="J28" s="220"/>
      <c r="K28" s="19" t="s">
        <v>33</v>
      </c>
      <c r="L28" s="21" t="s">
        <v>32</v>
      </c>
      <c r="M28" s="19" t="s">
        <v>34</v>
      </c>
      <c r="N28" s="308" t="str">
        <f>IF($J$18="M","[kg]"," ")</f>
        <v xml:space="preserve"> </v>
      </c>
      <c r="O28" s="220"/>
      <c r="P28" s="1"/>
      <c r="Q28" s="1"/>
      <c r="R28" s="1"/>
      <c r="S28" s="1"/>
    </row>
    <row r="29" spans="1:26" ht="12" customHeight="1">
      <c r="A29" s="24" t="str">
        <f t="shared" ref="A29:A31" si="0">IF($D$10=0," ",$D$9/$D$10*0.8)</f>
        <v xml:space="preserve"> </v>
      </c>
      <c r="B29" s="314">
        <f t="shared" ref="B29:B31" si="1">$D$9*0.8</f>
        <v>0</v>
      </c>
      <c r="C29" s="220"/>
      <c r="D29" s="38" t="str">
        <f t="shared" ref="D29:D31" si="2">IF($D$10=0," ",E29/$D$10)</f>
        <v xml:space="preserve"> </v>
      </c>
      <c r="E29" s="230"/>
      <c r="F29" s="216"/>
      <c r="G29" s="230"/>
      <c r="H29" s="216"/>
      <c r="I29" s="228" t="str">
        <f t="shared" ref="I29:I31" si="3">IF(G29=0," ",IF($J$18="M",ABS(N29-G29),ABS(G29-E29)))</f>
        <v xml:space="preserve"> </v>
      </c>
      <c r="J29" s="220"/>
      <c r="K29" s="129">
        <f t="shared" ref="K29:K32" si="4">L29*$D$10</f>
        <v>0</v>
      </c>
      <c r="L29" s="26">
        <f t="shared" ref="L29:L31" si="5">IF(D29=" ",0,IF(D29&lt;=500,0.5,(IF(D29&lt;=2000,1,IF(D29&gt;2000,1.5," ")))))</f>
        <v>0</v>
      </c>
      <c r="M29" s="27" t="str">
        <f t="shared" ref="M29:M32" si="6">IF(I29&lt;=K29,"Y","N")</f>
        <v>N</v>
      </c>
      <c r="N29" s="307" t="str">
        <f t="shared" ref="N29:N31" si="7">IF($J$18="M",(IF(E29=" "," ",(E29*(1-($K$21-$D$21)/$D$21))))," ")</f>
        <v xml:space="preserve"> </v>
      </c>
      <c r="O29" s="220"/>
      <c r="P29" s="1"/>
      <c r="Q29" s="1"/>
      <c r="R29" s="1"/>
      <c r="S29" s="1"/>
      <c r="T29" s="1"/>
      <c r="U29" s="1"/>
      <c r="V29" s="1"/>
      <c r="W29" s="1"/>
      <c r="X29" s="1"/>
      <c r="Y29" s="1"/>
      <c r="Z29" s="1"/>
    </row>
    <row r="30" spans="1:26" ht="12" customHeight="1">
      <c r="A30" s="24" t="str">
        <f t="shared" si="0"/>
        <v xml:space="preserve"> </v>
      </c>
      <c r="B30" s="314">
        <f t="shared" si="1"/>
        <v>0</v>
      </c>
      <c r="C30" s="220"/>
      <c r="D30" s="38" t="str">
        <f t="shared" si="2"/>
        <v xml:space="preserve"> </v>
      </c>
      <c r="E30" s="228">
        <f>E29</f>
        <v>0</v>
      </c>
      <c r="F30" s="220"/>
      <c r="G30" s="230"/>
      <c r="H30" s="216"/>
      <c r="I30" s="228" t="str">
        <f t="shared" si="3"/>
        <v xml:space="preserve"> </v>
      </c>
      <c r="J30" s="220"/>
      <c r="K30" s="129">
        <f t="shared" si="4"/>
        <v>0</v>
      </c>
      <c r="L30" s="26">
        <f t="shared" si="5"/>
        <v>0</v>
      </c>
      <c r="M30" s="27" t="str">
        <f t="shared" si="6"/>
        <v>N</v>
      </c>
      <c r="N30" s="307" t="str">
        <f t="shared" si="7"/>
        <v xml:space="preserve"> </v>
      </c>
      <c r="O30" s="220"/>
      <c r="P30" s="1"/>
      <c r="Q30" s="1"/>
      <c r="R30" s="1"/>
      <c r="S30" s="1"/>
      <c r="T30" s="1"/>
      <c r="U30" s="1"/>
      <c r="V30" s="1"/>
      <c r="W30" s="1"/>
      <c r="X30" s="1"/>
      <c r="Y30" s="1"/>
      <c r="Z30" s="1"/>
    </row>
    <row r="31" spans="1:26" ht="12" customHeight="1">
      <c r="A31" s="24" t="str">
        <f t="shared" si="0"/>
        <v xml:space="preserve"> </v>
      </c>
      <c r="B31" s="306">
        <f t="shared" si="1"/>
        <v>0</v>
      </c>
      <c r="C31" s="220"/>
      <c r="D31" s="38" t="str">
        <f t="shared" si="2"/>
        <v xml:space="preserve"> </v>
      </c>
      <c r="E31" s="227">
        <f>E29</f>
        <v>0</v>
      </c>
      <c r="F31" s="220"/>
      <c r="G31" s="230"/>
      <c r="H31" s="216"/>
      <c r="I31" s="228" t="str">
        <f t="shared" si="3"/>
        <v xml:space="preserve"> </v>
      </c>
      <c r="J31" s="220"/>
      <c r="K31" s="129">
        <f t="shared" si="4"/>
        <v>0</v>
      </c>
      <c r="L31" s="26">
        <f t="shared" si="5"/>
        <v>0</v>
      </c>
      <c r="M31" s="27" t="str">
        <f t="shared" si="6"/>
        <v>N</v>
      </c>
      <c r="N31" s="307" t="str">
        <f t="shared" si="7"/>
        <v xml:space="preserve"> </v>
      </c>
      <c r="O31" s="220"/>
      <c r="P31" s="1"/>
      <c r="Q31" s="1"/>
      <c r="R31" s="1"/>
      <c r="S31" s="1"/>
      <c r="T31" s="1"/>
      <c r="U31" s="1"/>
      <c r="V31" s="1"/>
      <c r="W31" s="1"/>
      <c r="X31" s="1"/>
      <c r="Y31" s="1"/>
      <c r="Z31" s="1"/>
    </row>
    <row r="32" spans="1:26" ht="12" customHeight="1">
      <c r="A32" s="28"/>
      <c r="B32" s="130"/>
      <c r="C32" s="131"/>
      <c r="D32" s="53"/>
      <c r="E32" s="132"/>
      <c r="F32" s="133"/>
      <c r="G32" s="231" t="s">
        <v>108</v>
      </c>
      <c r="H32" s="220"/>
      <c r="I32" s="228">
        <f>IF(G29=0,0,ROUND((MAX(G29:H31)-MIN(G29:H31)),4))</f>
        <v>0</v>
      </c>
      <c r="J32" s="220"/>
      <c r="K32" s="129">
        <f t="shared" si="4"/>
        <v>0</v>
      </c>
      <c r="L32" s="26">
        <f>IF(OR(D29=" ",D30=" ",D31=" "),0,IF(AND(D29&lt;=500,D30&lt;=500,D31&lt;=500),0.5,(IF(AND(D29&lt;=2000,D30&lt;=2000,D31&lt;=2000),1,IF(AND(D29&gt;2000,D30&gt;2000,D31&gt;2000),1.5," ")))))</f>
        <v>0</v>
      </c>
      <c r="M32" s="27" t="str">
        <f t="shared" si="6"/>
        <v>Y</v>
      </c>
      <c r="N32" s="1"/>
      <c r="O32" s="1"/>
      <c r="P32" s="1"/>
      <c r="Q32" s="1"/>
      <c r="R32" s="1"/>
      <c r="S32" s="1"/>
      <c r="T32" s="1"/>
      <c r="U32" s="1"/>
      <c r="V32" s="1"/>
      <c r="W32" s="1"/>
      <c r="X32" s="1"/>
      <c r="Y32" s="1"/>
      <c r="Z32" s="1"/>
    </row>
    <row r="33" spans="1:26" ht="12" customHeight="1">
      <c r="A33" s="1"/>
      <c r="B33" s="1"/>
      <c r="C33" s="1"/>
      <c r="D33" s="1"/>
      <c r="E33" s="1"/>
      <c r="F33" s="1"/>
      <c r="G33" s="1"/>
      <c r="H33" s="1"/>
      <c r="I33" s="1"/>
      <c r="J33" s="224" t="str">
        <f>IF($D$13="English","Test passed?","Test bestanden?")</f>
        <v>Test passed?</v>
      </c>
      <c r="K33" s="225"/>
      <c r="L33" s="226"/>
      <c r="M33" s="27" t="str">
        <f>IF(AND(M29="Y",M30="Y",M31="Y",M32="Y"),"Y","N")</f>
        <v>N</v>
      </c>
      <c r="N33" s="1"/>
      <c r="O33" s="1"/>
      <c r="P33" s="1"/>
      <c r="Q33" s="1"/>
      <c r="R33" s="1"/>
      <c r="S33" s="1"/>
      <c r="T33" s="1"/>
      <c r="U33" s="1"/>
      <c r="V33" s="1"/>
      <c r="W33" s="1"/>
      <c r="X33" s="1"/>
      <c r="Y33" s="1"/>
      <c r="Z33" s="1"/>
    </row>
    <row r="34" spans="1:26" ht="12" customHeight="1">
      <c r="A34" s="1"/>
      <c r="B34" s="1"/>
      <c r="C34" s="1"/>
      <c r="D34" s="1"/>
      <c r="E34" s="1"/>
      <c r="F34" s="1"/>
      <c r="G34" s="1"/>
      <c r="H34" s="1"/>
      <c r="I34" s="1"/>
      <c r="J34" s="6"/>
      <c r="M34" s="125"/>
      <c r="N34" s="1"/>
      <c r="O34" s="1"/>
      <c r="P34" s="1"/>
      <c r="Q34" s="1"/>
      <c r="R34" s="1"/>
      <c r="S34" s="1"/>
      <c r="T34" s="1"/>
      <c r="U34" s="1"/>
      <c r="V34" s="1"/>
      <c r="W34" s="1"/>
      <c r="X34" s="1"/>
      <c r="Y34" s="1"/>
      <c r="Z34" s="1"/>
    </row>
    <row r="35" spans="1:26" ht="15.75" customHeight="1">
      <c r="A35" s="7" t="str">
        <f>IF($D$13="English","2.  Accuracy of Zero Device (hi-res mode: off):","2.  Prüfung der Genauigkeit der Nullstellung (Hi-Res-Modus aus):")</f>
        <v>2.  Accuracy of Zero Device (hi-res mode: off):</v>
      </c>
      <c r="B35" s="1"/>
      <c r="C35" s="1"/>
      <c r="D35" s="1"/>
      <c r="E35" s="1"/>
      <c r="F35" s="1"/>
      <c r="G35" s="1"/>
      <c r="H35" s="1" t="str">
        <f>IF($D$13="English","accordance to EN45501-2015, A.4.2.3","gemäß EN45501-2015, A.4.2.3")</f>
        <v>accordance to EN45501-2015, A.4.2.3</v>
      </c>
      <c r="I35" s="1"/>
      <c r="J35" s="1"/>
      <c r="K35" s="1"/>
      <c r="L35" s="30"/>
      <c r="M35" s="1"/>
      <c r="N35" s="1"/>
      <c r="O35" s="1"/>
      <c r="P35" s="1"/>
      <c r="Q35" s="1"/>
      <c r="R35" s="1"/>
      <c r="S35" s="1"/>
      <c r="T35" s="1"/>
      <c r="U35" s="1"/>
      <c r="V35" s="1"/>
      <c r="W35" s="1"/>
      <c r="X35" s="1"/>
      <c r="Y35" s="1"/>
      <c r="Z35" s="1"/>
    </row>
    <row r="36" spans="1:26" ht="12" customHeight="1">
      <c r="A36" s="231" t="s">
        <v>48</v>
      </c>
      <c r="B36" s="223"/>
      <c r="C36" s="223"/>
      <c r="D36" s="220"/>
      <c r="E36" s="231" t="s">
        <v>49</v>
      </c>
      <c r="F36" s="223"/>
      <c r="G36" s="220"/>
      <c r="H36" s="231" t="s">
        <v>29</v>
      </c>
      <c r="I36" s="220"/>
      <c r="J36" s="19" t="s">
        <v>30</v>
      </c>
      <c r="K36" s="30"/>
      <c r="L36" s="1"/>
      <c r="M36" s="1"/>
      <c r="N36" s="1"/>
      <c r="O36" s="1"/>
      <c r="P36" s="1"/>
      <c r="Q36" s="1"/>
      <c r="R36" s="1"/>
      <c r="S36" s="1"/>
      <c r="T36" s="1"/>
      <c r="U36" s="1"/>
      <c r="V36" s="1"/>
      <c r="W36" s="1"/>
      <c r="X36" s="1"/>
      <c r="Y36" s="1"/>
      <c r="Z36" s="1"/>
    </row>
    <row r="37" spans="1:26" ht="12.75" customHeight="1">
      <c r="A37" s="231" t="s">
        <v>33</v>
      </c>
      <c r="B37" s="223"/>
      <c r="C37" s="223"/>
      <c r="D37" s="220"/>
      <c r="E37" s="231" t="s">
        <v>33</v>
      </c>
      <c r="F37" s="223"/>
      <c r="G37" s="220"/>
      <c r="H37" s="19" t="s">
        <v>33</v>
      </c>
      <c r="I37" s="21" t="s">
        <v>32</v>
      </c>
      <c r="J37" s="19" t="s">
        <v>34</v>
      </c>
      <c r="K37" s="30"/>
      <c r="L37" s="1"/>
      <c r="M37" s="1"/>
      <c r="N37" s="1"/>
      <c r="O37" s="1"/>
      <c r="P37" s="1"/>
      <c r="Q37" s="1"/>
      <c r="R37" s="1"/>
      <c r="S37" s="1"/>
      <c r="T37" s="1"/>
      <c r="U37" s="1"/>
      <c r="V37" s="1"/>
      <c r="W37" s="1"/>
      <c r="X37" s="1"/>
      <c r="Y37" s="1"/>
      <c r="Z37" s="1"/>
    </row>
    <row r="38" spans="1:26" ht="12" customHeight="1">
      <c r="A38" s="235"/>
      <c r="B38" s="215"/>
      <c r="C38" s="215"/>
      <c r="D38" s="216"/>
      <c r="E38" s="228">
        <f>0.5*$D$10-$A$38</f>
        <v>0</v>
      </c>
      <c r="F38" s="223"/>
      <c r="G38" s="220"/>
      <c r="H38" s="71">
        <f>I38*$D$10</f>
        <v>0</v>
      </c>
      <c r="I38" s="36">
        <v>0.25</v>
      </c>
      <c r="J38" s="27" t="str">
        <f>IF(D38=" ","N",IF(H38&gt;=ABS($E38),"Y","N"))</f>
        <v>Y</v>
      </c>
      <c r="K38" s="28"/>
      <c r="R38" s="1"/>
      <c r="S38" s="1"/>
      <c r="T38" s="1"/>
      <c r="U38" s="1"/>
      <c r="V38" s="1"/>
      <c r="W38" s="1"/>
      <c r="X38" s="1"/>
      <c r="Y38" s="1"/>
      <c r="Z38" s="1"/>
    </row>
    <row r="39" spans="1:26" ht="12" customHeight="1">
      <c r="A39" s="7"/>
      <c r="B39" s="7"/>
      <c r="C39" s="1"/>
      <c r="D39" s="1"/>
      <c r="E39" s="1"/>
      <c r="F39" s="1"/>
      <c r="G39" s="1"/>
      <c r="H39" s="1"/>
      <c r="I39" s="6" t="str">
        <f>IF($D$13="English","Test passed?","Test bestanden?")</f>
        <v>Test passed?</v>
      </c>
      <c r="J39" s="27" t="str">
        <f>IF(J38="Y","Y","N")</f>
        <v>Y</v>
      </c>
      <c r="K39" s="1"/>
      <c r="R39" s="1"/>
      <c r="S39" s="1"/>
      <c r="T39" s="1"/>
      <c r="U39" s="1"/>
      <c r="V39" s="1"/>
      <c r="W39" s="1"/>
      <c r="X39" s="1"/>
      <c r="Y39" s="1"/>
      <c r="Z39" s="1"/>
    </row>
    <row r="40" spans="1:26" ht="12" customHeight="1">
      <c r="A40" s="7"/>
      <c r="B40" s="1"/>
      <c r="C40" s="1"/>
      <c r="D40" s="1"/>
      <c r="E40" s="1"/>
      <c r="F40" s="1"/>
      <c r="G40" s="1"/>
      <c r="H40" s="1"/>
      <c r="I40" s="1"/>
      <c r="J40" s="1"/>
      <c r="K40" s="1"/>
      <c r="L40" s="30"/>
      <c r="M40" s="1"/>
      <c r="R40" s="1"/>
      <c r="S40" s="1"/>
      <c r="T40" s="1"/>
      <c r="U40" s="1"/>
      <c r="V40" s="1"/>
      <c r="W40" s="1"/>
      <c r="X40" s="1"/>
      <c r="Y40" s="1"/>
      <c r="Z40" s="1"/>
    </row>
    <row r="41" spans="1:26" ht="12" customHeight="1">
      <c r="A41" s="7" t="str">
        <f>IF($D$13="English","3.  Accuracy of Tare Device  (hi-res mode: off):","3.  Genauigkeit der Tarierung  (Hi-Res-Modus: aus):")</f>
        <v>3.  Accuracy of Tare Device  (hi-res mode: off):</v>
      </c>
      <c r="B41" s="31"/>
      <c r="C41" s="32"/>
      <c r="D41" s="1"/>
      <c r="E41" s="1"/>
      <c r="F41" s="1"/>
      <c r="G41" s="1" t="str">
        <f>IF($D$13="English","accordance to EN45501-2015, A.4.6.2","gemäß EN45501-2015, A.4.6.2")</f>
        <v>accordance to EN45501-2015, A.4.6.2</v>
      </c>
      <c r="H41" s="1"/>
      <c r="J41" s="17"/>
      <c r="K41" s="1"/>
      <c r="L41" s="1"/>
      <c r="M41" s="33" t="s">
        <v>50</v>
      </c>
      <c r="O41" s="34"/>
      <c r="R41" s="1"/>
      <c r="S41" s="1"/>
      <c r="T41" s="1"/>
      <c r="U41" s="1"/>
      <c r="V41" s="1"/>
      <c r="W41" s="1"/>
      <c r="X41" s="1"/>
      <c r="Y41" s="1"/>
      <c r="Z41" s="1"/>
    </row>
    <row r="42" spans="1:26" ht="12" customHeight="1">
      <c r="A42" s="1"/>
      <c r="B42" s="31"/>
      <c r="C42" s="32"/>
      <c r="D42" s="1"/>
      <c r="E42" s="1"/>
      <c r="F42" s="1"/>
      <c r="G42" s="6"/>
      <c r="H42" s="1"/>
      <c r="J42" s="17"/>
      <c r="K42" s="1"/>
      <c r="L42" s="1"/>
      <c r="M42" s="1"/>
      <c r="N42" s="1"/>
      <c r="O42" s="1"/>
      <c r="P42" s="1"/>
      <c r="Q42" s="1"/>
      <c r="R42" s="1"/>
      <c r="S42" s="1"/>
      <c r="T42" s="1"/>
      <c r="U42" s="1"/>
      <c r="V42" s="1"/>
      <c r="W42" s="1"/>
      <c r="X42" s="1"/>
      <c r="Y42" s="1"/>
      <c r="Z42" s="1"/>
    </row>
    <row r="43" spans="1:26" ht="12" customHeight="1">
      <c r="A43" s="231" t="s">
        <v>48</v>
      </c>
      <c r="B43" s="223"/>
      <c r="C43" s="223"/>
      <c r="D43" s="220"/>
      <c r="E43" s="231" t="s">
        <v>51</v>
      </c>
      <c r="F43" s="223"/>
      <c r="G43" s="220"/>
      <c r="H43" s="231" t="s">
        <v>29</v>
      </c>
      <c r="I43" s="220"/>
      <c r="J43" s="19" t="s">
        <v>30</v>
      </c>
      <c r="K43" s="1"/>
      <c r="L43" s="1"/>
      <c r="M43" s="1"/>
      <c r="N43" s="1"/>
      <c r="O43" s="1"/>
      <c r="P43" s="1"/>
      <c r="Q43" s="1"/>
      <c r="R43" s="1"/>
      <c r="S43" s="1"/>
      <c r="T43" s="1"/>
      <c r="U43" s="1"/>
      <c r="V43" s="1"/>
      <c r="W43" s="1"/>
      <c r="X43" s="1"/>
      <c r="Y43" s="1"/>
      <c r="Z43" s="1"/>
    </row>
    <row r="44" spans="1:26" ht="12" customHeight="1">
      <c r="A44" s="231" t="s">
        <v>33</v>
      </c>
      <c r="B44" s="223"/>
      <c r="C44" s="223"/>
      <c r="D44" s="220"/>
      <c r="E44" s="231" t="s">
        <v>33</v>
      </c>
      <c r="F44" s="223"/>
      <c r="G44" s="220"/>
      <c r="H44" s="19" t="s">
        <v>33</v>
      </c>
      <c r="I44" s="21" t="s">
        <v>32</v>
      </c>
      <c r="J44" s="19" t="s">
        <v>34</v>
      </c>
      <c r="K44" s="1"/>
      <c r="L44" s="1"/>
      <c r="M44" s="1"/>
      <c r="N44" s="1"/>
      <c r="O44" s="1"/>
      <c r="P44" s="1"/>
      <c r="Q44" s="1"/>
      <c r="R44" s="1"/>
      <c r="S44" s="1"/>
      <c r="T44" s="1"/>
      <c r="U44" s="1"/>
      <c r="V44" s="1"/>
      <c r="W44" s="1"/>
      <c r="X44" s="1"/>
      <c r="Y44" s="1"/>
      <c r="Z44" s="1"/>
    </row>
    <row r="45" spans="1:26" ht="12" customHeight="1">
      <c r="A45" s="235"/>
      <c r="B45" s="215"/>
      <c r="C45" s="215"/>
      <c r="D45" s="216"/>
      <c r="E45" s="228" t="str">
        <f>IF(A45=0," ",0.5*$D$10-$A$45)</f>
        <v xml:space="preserve"> </v>
      </c>
      <c r="F45" s="223"/>
      <c r="G45" s="220"/>
      <c r="H45" s="71">
        <f>I45*$D$10</f>
        <v>0</v>
      </c>
      <c r="I45" s="36">
        <v>0.25</v>
      </c>
      <c r="J45" s="27" t="str">
        <f>IF(A45=0," ",IF(H45&gt;=ABS($E45),"Y","N"))</f>
        <v xml:space="preserve"> </v>
      </c>
      <c r="K45" s="1"/>
      <c r="L45" s="1"/>
      <c r="M45" s="1"/>
      <c r="N45" s="1"/>
      <c r="O45" s="1"/>
      <c r="P45" s="1"/>
      <c r="Q45" s="1"/>
      <c r="R45" s="1"/>
      <c r="S45" s="1"/>
      <c r="T45" s="1"/>
      <c r="U45" s="1"/>
      <c r="V45" s="1"/>
      <c r="W45" s="1"/>
      <c r="X45" s="1"/>
      <c r="Y45" s="1"/>
      <c r="Z45" s="1"/>
    </row>
    <row r="46" spans="1:26" ht="12" customHeight="1">
      <c r="A46" s="7"/>
      <c r="B46" s="7"/>
      <c r="C46" s="1"/>
      <c r="D46" s="1"/>
      <c r="E46" s="1"/>
      <c r="F46" s="1"/>
      <c r="G46" s="1"/>
      <c r="H46" s="1"/>
      <c r="I46" s="6" t="str">
        <f>IF($D$13="English","Test passed?","Test bestanden?")</f>
        <v>Test passed?</v>
      </c>
      <c r="J46" s="27" t="str">
        <f>IF(J45="Y","Y","N")</f>
        <v>N</v>
      </c>
      <c r="K46" s="1"/>
      <c r="L46" s="1"/>
      <c r="M46" s="1"/>
      <c r="N46" s="1"/>
      <c r="O46" s="1"/>
      <c r="P46" s="1"/>
      <c r="Q46" s="1"/>
      <c r="R46" s="1"/>
      <c r="S46" s="1"/>
      <c r="T46" s="1"/>
      <c r="U46" s="1"/>
      <c r="V46" s="1"/>
      <c r="W46" s="1"/>
      <c r="X46" s="1"/>
      <c r="Y46" s="1"/>
      <c r="Z46" s="1"/>
    </row>
    <row r="47" spans="1:26" ht="12" customHeight="1">
      <c r="A47" s="1"/>
      <c r="B47" s="1"/>
      <c r="C47" s="1"/>
      <c r="D47" s="1"/>
      <c r="E47" s="1"/>
      <c r="F47" s="1"/>
      <c r="G47" s="6"/>
      <c r="J47" s="17"/>
      <c r="K47" s="1"/>
      <c r="L47" s="1"/>
      <c r="M47" s="1"/>
      <c r="N47" s="1"/>
      <c r="O47" s="1"/>
      <c r="P47" s="1"/>
      <c r="Q47" s="1"/>
      <c r="R47" s="1"/>
      <c r="S47" s="1"/>
      <c r="T47" s="1"/>
      <c r="U47" s="1"/>
      <c r="V47" s="1"/>
      <c r="W47" s="1"/>
      <c r="X47" s="1"/>
      <c r="Y47" s="1"/>
      <c r="Z47" s="1"/>
    </row>
    <row r="48" spans="1:26" ht="12" customHeight="1">
      <c r="A48" s="297" t="str">
        <f>IF($D$13="English","4.  Weighing / Linearity Test (Indicator in hi-res mode):","4. Prüfung der Richtigkeit mit Normallast (Indikator in Hi-Res-Modus):")</f>
        <v>4.  Weighing / Linearity Test (Indicator in hi-res mode):</v>
      </c>
      <c r="B48" s="237"/>
      <c r="C48" s="237"/>
      <c r="D48" s="237"/>
      <c r="E48" s="237"/>
      <c r="F48" s="237"/>
      <c r="G48" s="237"/>
      <c r="H48" s="237"/>
      <c r="I48" s="1"/>
      <c r="J48" s="14"/>
      <c r="K48" s="1"/>
      <c r="L48" s="1"/>
      <c r="M48" s="6"/>
      <c r="N48" s="1"/>
      <c r="O48" s="1"/>
      <c r="P48" s="1"/>
      <c r="Q48" s="1"/>
      <c r="R48" s="1"/>
      <c r="S48" s="1"/>
      <c r="T48" s="1"/>
      <c r="U48" s="1"/>
      <c r="V48" s="1"/>
      <c r="W48" s="1"/>
      <c r="X48" s="1"/>
      <c r="Y48" s="1"/>
      <c r="Z48" s="1"/>
    </row>
    <row r="49" spans="1:26" ht="12" customHeight="1">
      <c r="A49" s="298"/>
      <c r="B49" s="298"/>
      <c r="C49" s="298"/>
      <c r="D49" s="298"/>
      <c r="E49" s="298"/>
      <c r="F49" s="298"/>
      <c r="G49" s="298"/>
      <c r="H49" s="298"/>
      <c r="I49" s="1" t="str">
        <f>IF($D$13="English","accordance to EN45501-2015, A.4.4.1","gemäß EN45501-2015, A.4.4.1")</f>
        <v>accordance to EN45501-2015, A.4.4.1</v>
      </c>
      <c r="J49" s="14"/>
      <c r="K49" s="1"/>
      <c r="L49" s="1"/>
      <c r="M49" s="6"/>
      <c r="N49" s="1"/>
      <c r="O49" s="1"/>
      <c r="P49" s="1"/>
      <c r="Q49" s="1"/>
      <c r="R49" s="1"/>
      <c r="S49" s="1"/>
      <c r="T49" s="1"/>
      <c r="U49" s="1"/>
      <c r="V49" s="1"/>
      <c r="W49" s="1"/>
      <c r="X49" s="1"/>
      <c r="Y49" s="1"/>
      <c r="Z49" s="1"/>
    </row>
    <row r="50" spans="1:26" ht="12" customHeight="1">
      <c r="A50" s="234" t="str">
        <f>IF($D$13="English","load must be about","ungefähre Last")</f>
        <v>load must be about</v>
      </c>
      <c r="B50" s="223"/>
      <c r="C50" s="220"/>
      <c r="D50" s="231" t="s">
        <v>26</v>
      </c>
      <c r="E50" s="223"/>
      <c r="F50" s="220"/>
      <c r="G50" s="231" t="s">
        <v>27</v>
      </c>
      <c r="H50" s="220"/>
      <c r="I50" s="231" t="s">
        <v>101</v>
      </c>
      <c r="J50" s="220"/>
      <c r="K50" s="231" t="s">
        <v>29</v>
      </c>
      <c r="L50" s="220"/>
      <c r="M50" s="309" t="s">
        <v>109</v>
      </c>
      <c r="N50" s="220"/>
      <c r="O50" s="134" t="s">
        <v>110</v>
      </c>
      <c r="P50" s="308" t="str">
        <f>IF($J$18="M","L calc"," ")</f>
        <v xml:space="preserve"> </v>
      </c>
      <c r="Q50" s="220"/>
      <c r="R50" s="1"/>
      <c r="S50" s="1"/>
      <c r="T50" s="1"/>
      <c r="U50" s="1"/>
      <c r="V50" s="1"/>
      <c r="W50" s="1"/>
      <c r="X50" s="1"/>
      <c r="Y50" s="1"/>
      <c r="Z50" s="1"/>
    </row>
    <row r="51" spans="1:26" ht="12" customHeight="1">
      <c r="A51" s="19" t="s">
        <v>32</v>
      </c>
      <c r="B51" s="239" t="s">
        <v>33</v>
      </c>
      <c r="C51" s="220"/>
      <c r="D51" s="19" t="s">
        <v>32</v>
      </c>
      <c r="E51" s="239" t="s">
        <v>33</v>
      </c>
      <c r="F51" s="220"/>
      <c r="G51" s="231" t="s">
        <v>33</v>
      </c>
      <c r="H51" s="220"/>
      <c r="I51" s="231" t="s">
        <v>33</v>
      </c>
      <c r="J51" s="223"/>
      <c r="K51" s="19" t="s">
        <v>33</v>
      </c>
      <c r="L51" s="21" t="s">
        <v>32</v>
      </c>
      <c r="M51" s="231" t="s">
        <v>33</v>
      </c>
      <c r="N51" s="220"/>
      <c r="O51" s="135"/>
      <c r="P51" s="308" t="str">
        <f>IF($J$18="M","[kg]"," ")</f>
        <v xml:space="preserve"> </v>
      </c>
      <c r="Q51" s="220"/>
      <c r="R51" s="1"/>
      <c r="S51" s="1"/>
      <c r="T51" s="1"/>
      <c r="U51" s="1"/>
      <c r="V51" s="1"/>
      <c r="W51" s="1"/>
      <c r="X51" s="1"/>
      <c r="Y51" s="1"/>
      <c r="Z51" s="1"/>
    </row>
    <row r="52" spans="1:26" ht="12" customHeight="1">
      <c r="A52" s="38">
        <v>20</v>
      </c>
      <c r="B52" s="306">
        <f>A52*$D$10</f>
        <v>0</v>
      </c>
      <c r="C52" s="220"/>
      <c r="D52" s="24" t="str">
        <f t="shared" ref="D52:D60" si="8">IF($D$10=0,"-",E52/$D$10)</f>
        <v>-</v>
      </c>
      <c r="E52" s="230"/>
      <c r="F52" s="216"/>
      <c r="G52" s="230"/>
      <c r="H52" s="216"/>
      <c r="I52" s="228" t="str">
        <f t="shared" ref="I52:I60" si="9">IF(G52=0," ",IF($J$18="M",(G52-P52),(G52-E52)))</f>
        <v xml:space="preserve"> </v>
      </c>
      <c r="J52" s="220"/>
      <c r="K52" s="129">
        <f t="shared" ref="K52:K60" si="10">IF(L52=" "," ",L52*$D$10)</f>
        <v>0</v>
      </c>
      <c r="L52" s="26">
        <f t="shared" ref="L52:L60" si="11">IF(D52&lt;=500,0.5,(IF(D52&lt;=2000,1,IF(D52&gt;2000,1.5," "))))</f>
        <v>1.5</v>
      </c>
      <c r="M52" s="231" t="str">
        <f t="shared" ref="M52:M60" si="12">IF(G52=0," ",IF($E$38=" "," ",ROUND(I52-$E$38,3)))</f>
        <v xml:space="preserve"> </v>
      </c>
      <c r="N52" s="220"/>
      <c r="O52" s="27" t="str">
        <f t="shared" ref="O52:O60" si="13">IF(M52=" "," ",IF(ABS(M52)&lt;=K52,"Y","N"))</f>
        <v xml:space="preserve"> </v>
      </c>
      <c r="P52" s="307" t="str">
        <f t="shared" ref="P52:P60" si="14">IF($J$18="M",E52*(1-($K$21-$D$21)/$D$21)," ")</f>
        <v xml:space="preserve"> </v>
      </c>
      <c r="Q52" s="220"/>
      <c r="R52" s="1"/>
      <c r="S52" s="1"/>
      <c r="T52" s="1"/>
      <c r="U52" s="1"/>
      <c r="V52" s="1"/>
      <c r="W52" s="1"/>
      <c r="X52" s="1"/>
      <c r="Y52" s="1"/>
      <c r="Z52" s="1"/>
    </row>
    <row r="53" spans="1:26" ht="12" customHeight="1">
      <c r="A53" s="24" t="str">
        <f>IF($D$10=0,"-",IF($D$9/$D$10=500,100,IF($D$9/$D$10&lt;=1000,100,IF($D$9/$D$10&lt;=2000,200,500))))</f>
        <v>-</v>
      </c>
      <c r="B53" s="306" t="str">
        <f t="shared" ref="B53:B59" si="15">IF($D$10=0," ",A53*$D$10)</f>
        <v xml:space="preserve"> </v>
      </c>
      <c r="C53" s="220"/>
      <c r="D53" s="24" t="str">
        <f t="shared" si="8"/>
        <v>-</v>
      </c>
      <c r="E53" s="230"/>
      <c r="F53" s="216"/>
      <c r="G53" s="230"/>
      <c r="H53" s="216"/>
      <c r="I53" s="228" t="str">
        <f t="shared" si="9"/>
        <v xml:space="preserve"> </v>
      </c>
      <c r="J53" s="220"/>
      <c r="K53" s="129">
        <f t="shared" si="10"/>
        <v>0</v>
      </c>
      <c r="L53" s="26">
        <f t="shared" si="11"/>
        <v>1.5</v>
      </c>
      <c r="M53" s="231" t="str">
        <f t="shared" si="12"/>
        <v xml:space="preserve"> </v>
      </c>
      <c r="N53" s="220"/>
      <c r="O53" s="27" t="str">
        <f t="shared" si="13"/>
        <v xml:space="preserve"> </v>
      </c>
      <c r="P53" s="307" t="str">
        <f t="shared" si="14"/>
        <v xml:space="preserve"> </v>
      </c>
      <c r="Q53" s="220"/>
      <c r="R53" s="1"/>
      <c r="S53" s="1"/>
      <c r="T53" s="1"/>
      <c r="U53" s="1"/>
      <c r="V53" s="1"/>
      <c r="W53" s="1"/>
      <c r="X53" s="1"/>
      <c r="Y53" s="1"/>
      <c r="Z53" s="1"/>
    </row>
    <row r="54" spans="1:26" ht="12" customHeight="1">
      <c r="A54" s="24" t="str">
        <f>IF($D$10=0,"-",IF($D$9/$D$10=500,200,IF($D$9/$D$10&lt;=1000,200,IF($D$9/$D$10&lt;=2000,500,1000))))</f>
        <v>-</v>
      </c>
      <c r="B54" s="306" t="str">
        <f t="shared" si="15"/>
        <v xml:space="preserve"> </v>
      </c>
      <c r="C54" s="220"/>
      <c r="D54" s="24" t="str">
        <f t="shared" si="8"/>
        <v>-</v>
      </c>
      <c r="E54" s="230"/>
      <c r="F54" s="216"/>
      <c r="G54" s="230"/>
      <c r="H54" s="216"/>
      <c r="I54" s="228" t="str">
        <f t="shared" si="9"/>
        <v xml:space="preserve"> </v>
      </c>
      <c r="J54" s="220"/>
      <c r="K54" s="129">
        <f t="shared" si="10"/>
        <v>0</v>
      </c>
      <c r="L54" s="26">
        <f t="shared" si="11"/>
        <v>1.5</v>
      </c>
      <c r="M54" s="231" t="str">
        <f t="shared" si="12"/>
        <v xml:space="preserve"> </v>
      </c>
      <c r="N54" s="220"/>
      <c r="O54" s="27" t="str">
        <f t="shared" si="13"/>
        <v xml:space="preserve"> </v>
      </c>
      <c r="P54" s="307" t="str">
        <f t="shared" si="14"/>
        <v xml:space="preserve"> </v>
      </c>
      <c r="Q54" s="220"/>
      <c r="R54" s="1"/>
      <c r="S54" s="1"/>
      <c r="T54" s="1"/>
      <c r="U54" s="1"/>
      <c r="V54" s="1"/>
      <c r="W54" s="1"/>
      <c r="X54" s="1"/>
      <c r="Y54" s="1"/>
      <c r="Z54" s="1"/>
    </row>
    <row r="55" spans="1:26" ht="12" customHeight="1">
      <c r="A55" s="24" t="str">
        <f>IF($D$10=0,"-",IF($D$9/$D$10=500,300,IF($D$9/$D$10&lt;=1000,500,IF($D$9/$D$10&lt;=2000,1000,2000))))</f>
        <v>-</v>
      </c>
      <c r="B55" s="306" t="str">
        <f t="shared" si="15"/>
        <v xml:space="preserve"> </v>
      </c>
      <c r="C55" s="220"/>
      <c r="D55" s="24" t="str">
        <f t="shared" si="8"/>
        <v>-</v>
      </c>
      <c r="E55" s="230"/>
      <c r="F55" s="216"/>
      <c r="G55" s="230"/>
      <c r="H55" s="216"/>
      <c r="I55" s="228" t="str">
        <f t="shared" si="9"/>
        <v xml:space="preserve"> </v>
      </c>
      <c r="J55" s="220"/>
      <c r="K55" s="129">
        <f t="shared" si="10"/>
        <v>0</v>
      </c>
      <c r="L55" s="26">
        <f t="shared" si="11"/>
        <v>1.5</v>
      </c>
      <c r="M55" s="231" t="str">
        <f t="shared" si="12"/>
        <v xml:space="preserve"> </v>
      </c>
      <c r="N55" s="220"/>
      <c r="O55" s="27" t="str">
        <f t="shared" si="13"/>
        <v xml:space="preserve"> </v>
      </c>
      <c r="P55" s="307" t="str">
        <f t="shared" si="14"/>
        <v xml:space="preserve"> </v>
      </c>
      <c r="Q55" s="220"/>
      <c r="R55" s="1"/>
      <c r="S55" s="1"/>
      <c r="T55" s="1"/>
      <c r="U55" s="1"/>
      <c r="V55" s="1"/>
      <c r="W55" s="1"/>
      <c r="X55" s="1"/>
      <c r="Y55" s="1"/>
      <c r="Z55" s="1"/>
    </row>
    <row r="56" spans="1:26" ht="12" customHeight="1">
      <c r="A56" s="24" t="str">
        <f>IF($D$10=0,"-",$D$9/$D$10)</f>
        <v>-</v>
      </c>
      <c r="B56" s="306" t="str">
        <f t="shared" si="15"/>
        <v xml:space="preserve"> </v>
      </c>
      <c r="C56" s="220"/>
      <c r="D56" s="24" t="str">
        <f t="shared" si="8"/>
        <v>-</v>
      </c>
      <c r="E56" s="230"/>
      <c r="F56" s="216"/>
      <c r="G56" s="230"/>
      <c r="H56" s="216"/>
      <c r="I56" s="228" t="str">
        <f t="shared" si="9"/>
        <v xml:space="preserve"> </v>
      </c>
      <c r="J56" s="220"/>
      <c r="K56" s="129">
        <f t="shared" si="10"/>
        <v>0</v>
      </c>
      <c r="L56" s="26">
        <f t="shared" si="11"/>
        <v>1.5</v>
      </c>
      <c r="M56" s="231" t="str">
        <f t="shared" si="12"/>
        <v xml:space="preserve"> </v>
      </c>
      <c r="N56" s="220"/>
      <c r="O56" s="27" t="str">
        <f t="shared" si="13"/>
        <v xml:space="preserve"> </v>
      </c>
      <c r="P56" s="307" t="str">
        <f t="shared" si="14"/>
        <v xml:space="preserve"> </v>
      </c>
      <c r="Q56" s="220"/>
      <c r="R56" s="1"/>
      <c r="S56" s="1"/>
      <c r="T56" s="1"/>
      <c r="U56" s="1"/>
      <c r="V56" s="1"/>
      <c r="W56" s="1"/>
      <c r="X56" s="1"/>
      <c r="Y56" s="1"/>
      <c r="Z56" s="1"/>
    </row>
    <row r="57" spans="1:26" ht="12" customHeight="1">
      <c r="A57" s="24" t="str">
        <f>IF($D$10=0,"-",IF($D$9/$D$10=500,300,IF($D$9/$D$10&lt;=1000,500,IF($D$9/$D$10&lt;=2000,1000,2000))))</f>
        <v>-</v>
      </c>
      <c r="B57" s="306" t="str">
        <f t="shared" si="15"/>
        <v xml:space="preserve"> </v>
      </c>
      <c r="C57" s="220"/>
      <c r="D57" s="24" t="str">
        <f t="shared" si="8"/>
        <v>-</v>
      </c>
      <c r="E57" s="228">
        <f>E55</f>
        <v>0</v>
      </c>
      <c r="F57" s="220"/>
      <c r="G57" s="230"/>
      <c r="H57" s="216"/>
      <c r="I57" s="228" t="str">
        <f t="shared" si="9"/>
        <v xml:space="preserve"> </v>
      </c>
      <c r="J57" s="220"/>
      <c r="K57" s="129">
        <f t="shared" si="10"/>
        <v>0</v>
      </c>
      <c r="L57" s="26">
        <f t="shared" si="11"/>
        <v>1.5</v>
      </c>
      <c r="M57" s="231" t="str">
        <f t="shared" si="12"/>
        <v xml:space="preserve"> </v>
      </c>
      <c r="N57" s="220"/>
      <c r="O57" s="27" t="str">
        <f t="shared" si="13"/>
        <v xml:space="preserve"> </v>
      </c>
      <c r="P57" s="307" t="str">
        <f t="shared" si="14"/>
        <v xml:space="preserve"> </v>
      </c>
      <c r="Q57" s="220"/>
      <c r="R57" s="1"/>
      <c r="S57" s="1"/>
      <c r="T57" s="1"/>
      <c r="U57" s="1"/>
      <c r="V57" s="1"/>
      <c r="W57" s="1"/>
      <c r="X57" s="1"/>
      <c r="Y57" s="1"/>
      <c r="Z57" s="1"/>
    </row>
    <row r="58" spans="1:26" ht="12" customHeight="1">
      <c r="A58" s="24" t="str">
        <f>IF($D$10=0,"-",IF($D$9/$D$10=500,200,IF($D$9/$D$10&lt;=1000,200,IF($D$9/$D$10&lt;=2000,500,1000))))</f>
        <v>-</v>
      </c>
      <c r="B58" s="306" t="str">
        <f t="shared" si="15"/>
        <v xml:space="preserve"> </v>
      </c>
      <c r="C58" s="220"/>
      <c r="D58" s="24" t="str">
        <f t="shared" si="8"/>
        <v>-</v>
      </c>
      <c r="E58" s="228">
        <f>E54</f>
        <v>0</v>
      </c>
      <c r="F58" s="220"/>
      <c r="G58" s="230"/>
      <c r="H58" s="216"/>
      <c r="I58" s="228" t="str">
        <f t="shared" si="9"/>
        <v xml:space="preserve"> </v>
      </c>
      <c r="J58" s="220"/>
      <c r="K58" s="129">
        <f t="shared" si="10"/>
        <v>0</v>
      </c>
      <c r="L58" s="26">
        <f t="shared" si="11"/>
        <v>1.5</v>
      </c>
      <c r="M58" s="231" t="str">
        <f t="shared" si="12"/>
        <v xml:space="preserve"> </v>
      </c>
      <c r="N58" s="220"/>
      <c r="O58" s="27" t="str">
        <f t="shared" si="13"/>
        <v xml:space="preserve"> </v>
      </c>
      <c r="P58" s="307" t="str">
        <f t="shared" si="14"/>
        <v xml:space="preserve"> </v>
      </c>
      <c r="Q58" s="220"/>
      <c r="R58" s="1"/>
      <c r="S58" s="1"/>
      <c r="T58" s="1"/>
      <c r="U58" s="1"/>
      <c r="V58" s="1"/>
      <c r="W58" s="1"/>
      <c r="X58" s="1"/>
      <c r="Y58" s="1"/>
      <c r="Z58" s="1"/>
    </row>
    <row r="59" spans="1:26" ht="12" customHeight="1">
      <c r="A59" s="24" t="str">
        <f>IF($D$10=0,"-",IF($D$9/$D$10=500,100,IF($D$9/$D$10&lt;=1000,100,IF($D$9/$D$10&lt;=2000,200,500))))</f>
        <v>-</v>
      </c>
      <c r="B59" s="306" t="str">
        <f t="shared" si="15"/>
        <v xml:space="preserve"> </v>
      </c>
      <c r="C59" s="220"/>
      <c r="D59" s="24" t="str">
        <f t="shared" si="8"/>
        <v>-</v>
      </c>
      <c r="E59" s="228">
        <f>E53</f>
        <v>0</v>
      </c>
      <c r="F59" s="220"/>
      <c r="G59" s="230"/>
      <c r="H59" s="216"/>
      <c r="I59" s="228" t="str">
        <f t="shared" si="9"/>
        <v xml:space="preserve"> </v>
      </c>
      <c r="J59" s="220"/>
      <c r="K59" s="129">
        <f t="shared" si="10"/>
        <v>0</v>
      </c>
      <c r="L59" s="26">
        <f t="shared" si="11"/>
        <v>1.5</v>
      </c>
      <c r="M59" s="231" t="str">
        <f t="shared" si="12"/>
        <v xml:space="preserve"> </v>
      </c>
      <c r="N59" s="220"/>
      <c r="O59" s="27" t="str">
        <f t="shared" si="13"/>
        <v xml:space="preserve"> </v>
      </c>
      <c r="P59" s="307" t="str">
        <f t="shared" si="14"/>
        <v xml:space="preserve"> </v>
      </c>
      <c r="Q59" s="220"/>
      <c r="R59" s="1"/>
      <c r="S59" s="1"/>
      <c r="T59" s="1"/>
      <c r="U59" s="1"/>
      <c r="V59" s="1"/>
      <c r="W59" s="1"/>
      <c r="X59" s="1"/>
      <c r="Y59" s="1"/>
      <c r="Z59" s="1"/>
    </row>
    <row r="60" spans="1:26" ht="12" customHeight="1">
      <c r="A60" s="24">
        <v>20</v>
      </c>
      <c r="B60" s="306">
        <f>A60*$D$10</f>
        <v>0</v>
      </c>
      <c r="C60" s="220"/>
      <c r="D60" s="24" t="str">
        <f t="shared" si="8"/>
        <v>-</v>
      </c>
      <c r="E60" s="228">
        <f>E52</f>
        <v>0</v>
      </c>
      <c r="F60" s="220"/>
      <c r="G60" s="230"/>
      <c r="H60" s="216"/>
      <c r="I60" s="228" t="str">
        <f t="shared" si="9"/>
        <v xml:space="preserve"> </v>
      </c>
      <c r="J60" s="220"/>
      <c r="K60" s="129">
        <f t="shared" si="10"/>
        <v>0</v>
      </c>
      <c r="L60" s="26">
        <f t="shared" si="11"/>
        <v>1.5</v>
      </c>
      <c r="M60" s="231" t="str">
        <f t="shared" si="12"/>
        <v xml:space="preserve"> </v>
      </c>
      <c r="N60" s="220"/>
      <c r="O60" s="27" t="str">
        <f t="shared" si="13"/>
        <v xml:space="preserve"> </v>
      </c>
      <c r="P60" s="307" t="str">
        <f t="shared" si="14"/>
        <v xml:space="preserve"> </v>
      </c>
      <c r="Q60" s="220"/>
      <c r="R60" s="1"/>
      <c r="S60" s="1"/>
      <c r="T60" s="1"/>
      <c r="U60" s="1"/>
      <c r="V60" s="1"/>
      <c r="W60" s="1"/>
      <c r="X60" s="1"/>
      <c r="Y60" s="1"/>
      <c r="Z60" s="1"/>
    </row>
    <row r="61" spans="1:26" ht="12" customHeight="1">
      <c r="A61" s="28"/>
      <c r="B61" s="31"/>
      <c r="C61" s="32"/>
      <c r="D61" s="1"/>
      <c r="E61" s="1"/>
      <c r="F61" s="1"/>
      <c r="G61" s="1"/>
      <c r="H61" s="1"/>
      <c r="I61" s="1"/>
      <c r="J61" s="1"/>
      <c r="K61" s="93"/>
      <c r="L61" s="93"/>
      <c r="M61" s="1"/>
      <c r="N61" s="3" t="str">
        <f>IF($D$13="English","Test passed?","Test bestanden?")</f>
        <v>Test passed?</v>
      </c>
      <c r="O61" s="27" t="str">
        <f>IF(AND(O52="Y",O53= "Y", O54="Y",O55="Y",O56="Y",O57="Y",O58="Y",O59="Y",O60="Y"),"Y","N")</f>
        <v>N</v>
      </c>
      <c r="P61" s="1"/>
      <c r="Q61" s="1"/>
      <c r="R61" s="1"/>
      <c r="S61" s="1"/>
      <c r="T61" s="1"/>
      <c r="U61" s="1"/>
      <c r="V61" s="1"/>
      <c r="W61" s="1"/>
      <c r="X61" s="1"/>
      <c r="Y61" s="1"/>
      <c r="Z61" s="1"/>
    </row>
    <row r="62" spans="1:26" ht="12" customHeight="1">
      <c r="A62" s="48"/>
      <c r="B62" s="31"/>
      <c r="C62" s="32"/>
      <c r="D62" s="1"/>
      <c r="E62" s="1"/>
      <c r="F62" s="1"/>
      <c r="G62" s="1"/>
      <c r="H62" s="1"/>
      <c r="I62" s="1"/>
      <c r="J62" s="1"/>
      <c r="M62" s="1"/>
      <c r="N62" s="1"/>
      <c r="O62" s="6"/>
      <c r="P62" s="125"/>
      <c r="Q62" s="1"/>
      <c r="R62" s="1"/>
      <c r="S62" s="1"/>
      <c r="T62" s="1"/>
      <c r="U62" s="1"/>
      <c r="V62" s="1"/>
      <c r="W62" s="1"/>
      <c r="X62" s="1"/>
      <c r="Y62" s="1"/>
      <c r="Z62" s="1"/>
    </row>
    <row r="63" spans="1:26" ht="12" customHeight="1">
      <c r="A63" s="257" t="str">
        <f>IF($D$13="English","If the maximum calculated error in Weighing Test is less or equal to 0,5e, no additional Tare Test has to be performed. ","Wenn der kalkulierte maximale Fehler im Linearitätstest kleiner oder gleich 0,5e ist, muss kein zusätzlich Tara Test durchgeführt werden. ")</f>
        <v xml:space="preserve">If the maximum calculated error in Weighing Test is less or equal to 0,5e, no additional Tare Test has to be performed. </v>
      </c>
      <c r="B63" s="237"/>
      <c r="C63" s="237"/>
      <c r="D63" s="237"/>
      <c r="E63" s="237"/>
      <c r="F63" s="237"/>
      <c r="G63" s="237"/>
      <c r="H63" s="237"/>
      <c r="I63" s="237"/>
      <c r="J63" s="237"/>
      <c r="K63" s="237"/>
      <c r="L63" s="237"/>
      <c r="M63" s="237"/>
      <c r="N63" s="237"/>
      <c r="O63" s="237"/>
      <c r="P63" s="237"/>
      <c r="Q63" s="1"/>
      <c r="R63" s="1"/>
      <c r="S63" s="1"/>
      <c r="T63" s="1"/>
      <c r="U63" s="1"/>
      <c r="V63" s="1"/>
      <c r="W63" s="1"/>
      <c r="X63" s="1"/>
      <c r="Y63" s="1"/>
      <c r="Z63" s="1"/>
    </row>
    <row r="64" spans="1:26" ht="12" customHeight="1">
      <c r="A64" s="237"/>
      <c r="B64" s="237"/>
      <c r="C64" s="237"/>
      <c r="D64" s="237"/>
      <c r="E64" s="237"/>
      <c r="F64" s="237"/>
      <c r="G64" s="237"/>
      <c r="H64" s="237"/>
      <c r="I64" s="237"/>
      <c r="J64" s="237"/>
      <c r="K64" s="237"/>
      <c r="L64" s="237"/>
      <c r="M64" s="237"/>
      <c r="N64" s="237"/>
      <c r="O64" s="237"/>
      <c r="P64" s="237"/>
      <c r="Q64" s="1"/>
      <c r="R64" s="1"/>
      <c r="S64" s="1"/>
      <c r="T64" s="1"/>
      <c r="U64" s="1"/>
      <c r="V64" s="1"/>
      <c r="W64" s="1"/>
      <c r="X64" s="1"/>
      <c r="Y64" s="1"/>
      <c r="Z64" s="1"/>
    </row>
    <row r="65" spans="1:26" ht="12" customHeight="1">
      <c r="A65" s="48" t="str">
        <f>IF($D$13="English","Does Test 5 have to be performed? ","Muss Test 5 durchgeführt werden? ")</f>
        <v xml:space="preserve">Does Test 5 have to be performed? </v>
      </c>
      <c r="B65" s="39"/>
      <c r="C65" s="39"/>
      <c r="D65" s="39"/>
      <c r="E65" s="39"/>
      <c r="F65" s="27" t="e">
        <f>IF(AND(ABS(M52)&lt;=0.5*$D$10,ABS(M53)&lt;=0.5*$D$10,ABS(M54)&lt;=0.5*$D$10,ABS(M55)&lt;=0.5*$D$10,ABS(M56)&lt;=0.5*$D$10,ABS(M57)&lt;=0.5*$D$10,ABS(M58)&lt;=0.5*$D$10,ABS(M59)&lt;=0.5*$D$10,ABS(M60)&lt;=0.5*$D$10),"N","Y")</f>
        <v>#VALUE!</v>
      </c>
      <c r="G65" s="39"/>
      <c r="H65" s="39"/>
      <c r="I65" s="39"/>
      <c r="J65" s="39"/>
      <c r="K65" s="39"/>
      <c r="L65" s="39"/>
      <c r="M65" s="39"/>
      <c r="N65" s="39"/>
      <c r="O65" s="39"/>
      <c r="P65" s="39"/>
      <c r="Q65" s="1"/>
      <c r="R65" s="1"/>
      <c r="S65" s="1"/>
      <c r="T65" s="1"/>
      <c r="U65" s="1"/>
      <c r="V65" s="1"/>
      <c r="W65" s="1"/>
      <c r="X65" s="1"/>
      <c r="Y65" s="1"/>
      <c r="Z65" s="1"/>
    </row>
    <row r="66" spans="1:26" ht="12" customHeight="1">
      <c r="A66" s="48"/>
      <c r="B66" s="39"/>
      <c r="C66" s="39"/>
      <c r="D66" s="39"/>
      <c r="E66" s="39"/>
      <c r="F66" s="39"/>
      <c r="G66" s="39"/>
      <c r="H66" s="39"/>
      <c r="I66" s="39"/>
      <c r="J66" s="39"/>
      <c r="K66" s="39"/>
      <c r="L66" s="39"/>
      <c r="M66" s="39"/>
      <c r="N66" s="39"/>
      <c r="O66" s="39"/>
      <c r="P66" s="39"/>
      <c r="Q66" s="1"/>
      <c r="R66" s="1"/>
      <c r="S66" s="1"/>
      <c r="T66" s="1"/>
      <c r="U66" s="1"/>
      <c r="V66" s="1"/>
      <c r="W66" s="1"/>
      <c r="X66" s="1"/>
      <c r="Y66" s="1"/>
      <c r="Z66" s="1"/>
    </row>
    <row r="67" spans="1:26" ht="12" customHeight="1">
      <c r="A67" s="48"/>
      <c r="B67" s="39"/>
      <c r="C67" s="39"/>
      <c r="D67" s="39"/>
      <c r="E67" s="39"/>
      <c r="F67" s="39"/>
      <c r="G67" s="39"/>
      <c r="H67" s="39"/>
      <c r="I67" s="39"/>
      <c r="J67" s="39"/>
      <c r="K67" s="39"/>
      <c r="L67" s="39"/>
      <c r="M67" s="39"/>
      <c r="N67" s="39"/>
      <c r="O67" s="39"/>
      <c r="P67" s="39"/>
      <c r="Q67" s="1"/>
      <c r="R67" s="1"/>
      <c r="S67" s="1"/>
      <c r="T67" s="1"/>
      <c r="U67" s="1"/>
      <c r="V67" s="1"/>
      <c r="W67" s="1"/>
      <c r="X67" s="1"/>
      <c r="Y67" s="1"/>
      <c r="Z67" s="1"/>
    </row>
    <row r="68" spans="1:26" ht="12" customHeight="1">
      <c r="A68" s="48"/>
      <c r="B68" s="39"/>
      <c r="C68" s="39"/>
      <c r="D68" s="39"/>
      <c r="E68" s="39"/>
      <c r="F68" s="39"/>
      <c r="G68" s="39"/>
      <c r="H68" s="39"/>
      <c r="I68" s="39"/>
      <c r="J68" s="39"/>
      <c r="K68" s="39"/>
      <c r="L68" s="39"/>
      <c r="M68" s="39"/>
      <c r="N68" s="39"/>
      <c r="O68" s="39"/>
      <c r="P68" s="39"/>
      <c r="Q68" s="1"/>
      <c r="R68" s="1"/>
      <c r="S68" s="1"/>
      <c r="T68" s="1"/>
      <c r="U68" s="1"/>
      <c r="V68" s="1"/>
      <c r="W68" s="1"/>
      <c r="X68" s="1"/>
      <c r="Y68" s="1"/>
      <c r="Z68" s="1"/>
    </row>
    <row r="69" spans="1:26" ht="12" customHeight="1">
      <c r="A69" s="48"/>
      <c r="B69" s="39"/>
      <c r="C69" s="39"/>
      <c r="D69" s="39"/>
      <c r="E69" s="39"/>
      <c r="F69" s="39"/>
      <c r="G69" s="39"/>
      <c r="H69" s="39"/>
      <c r="I69" s="39"/>
      <c r="J69" s="39"/>
      <c r="K69" s="39"/>
      <c r="L69" s="39"/>
      <c r="M69" s="39"/>
      <c r="N69" s="39"/>
      <c r="O69" s="39"/>
      <c r="P69" s="39"/>
      <c r="Q69" s="1"/>
      <c r="R69" s="1"/>
      <c r="S69" s="1"/>
      <c r="T69" s="1"/>
      <c r="U69" s="1"/>
      <c r="V69" s="1"/>
      <c r="W69" s="1"/>
      <c r="X69" s="1"/>
      <c r="Y69" s="1"/>
      <c r="Z69" s="1"/>
    </row>
    <row r="70" spans="1:26" ht="12" customHeight="1">
      <c r="A70" s="39"/>
      <c r="B70" s="39"/>
      <c r="C70" s="39"/>
      <c r="D70" s="39"/>
      <c r="E70" s="39"/>
      <c r="F70" s="39"/>
      <c r="G70" s="39"/>
      <c r="H70" s="39"/>
      <c r="I70" s="39"/>
      <c r="J70" s="39"/>
      <c r="K70" s="39"/>
      <c r="L70" s="39"/>
      <c r="M70" s="39"/>
      <c r="N70" s="39"/>
      <c r="O70" s="39"/>
      <c r="P70" s="39"/>
      <c r="Q70" s="1"/>
      <c r="R70" s="1"/>
      <c r="S70" s="1"/>
      <c r="T70" s="1"/>
      <c r="U70" s="1"/>
      <c r="V70" s="1"/>
      <c r="W70" s="1"/>
      <c r="X70" s="1"/>
      <c r="Y70" s="1"/>
      <c r="Z70" s="1"/>
    </row>
    <row r="71" spans="1:26" ht="12" customHeight="1">
      <c r="A71" s="7" t="str">
        <f>IF($D$13="English","5.  Tare (Weighing Test) - Indicator in hi-res mode:","5. Tara (Richtigkeitsprüfung) - Indikator in Hi-Res-Modus:")</f>
        <v>5.  Tare (Weighing Test) - Indicator in hi-res mode:</v>
      </c>
      <c r="B71" s="50"/>
      <c r="C71" s="50"/>
      <c r="D71" s="50"/>
      <c r="E71" s="50"/>
      <c r="F71" s="50"/>
      <c r="G71" s="50"/>
      <c r="H71" s="1" t="str">
        <f>IF($D$13="English","accordance to EN45501-2015, A.4.6.1","gemäß EN45501-2015, A.4.6.1")</f>
        <v>accordance to EN45501-2015, A.4.6.1</v>
      </c>
      <c r="I71" s="50"/>
      <c r="J71" s="50"/>
      <c r="K71" s="50"/>
      <c r="L71" s="50"/>
      <c r="M71" s="50"/>
      <c r="N71" s="50"/>
      <c r="O71" s="50"/>
      <c r="P71" s="50"/>
      <c r="Q71" s="1"/>
      <c r="R71" s="1"/>
      <c r="S71" s="1"/>
      <c r="T71" s="1"/>
      <c r="U71" s="1"/>
      <c r="V71" s="1"/>
      <c r="W71" s="1"/>
      <c r="X71" s="1"/>
      <c r="Y71" s="1"/>
      <c r="Z71" s="1"/>
    </row>
    <row r="72" spans="1:26" ht="12" customHeight="1">
      <c r="A72" s="258" t="str">
        <f>IF($D$13="English","Tare a load between 1/3 Max and 2/3 Max and test up to Max.at 5 load points. Please test at the loads where mpe changes.","Last zwischen 1/3 und 2/3 Max tarieren und bis zur Maximallast bei 5 Lastpunkten prüfen. Bei den Lasten, bei denen sich mpe ändert, muss geprüft werden. ")</f>
        <v>Tare a load between 1/3 Max and 2/3 Max and test up to Max.at 5 load points. Please test at the loads where mpe changes.</v>
      </c>
      <c r="B72" s="237"/>
      <c r="C72" s="237"/>
      <c r="D72" s="237"/>
      <c r="E72" s="237"/>
      <c r="F72" s="237"/>
      <c r="G72" s="237"/>
      <c r="H72" s="237"/>
      <c r="I72" s="237"/>
      <c r="J72" s="237"/>
      <c r="K72" s="237"/>
      <c r="L72" s="237"/>
      <c r="M72" s="237"/>
      <c r="N72" s="237"/>
      <c r="O72" s="237"/>
      <c r="P72" s="237"/>
      <c r="Q72" s="1"/>
      <c r="R72" s="1"/>
      <c r="S72" s="1"/>
      <c r="T72" s="1"/>
      <c r="U72" s="1"/>
      <c r="V72" s="1"/>
      <c r="W72" s="1"/>
      <c r="X72" s="1"/>
      <c r="Y72" s="1"/>
      <c r="Z72" s="1"/>
    </row>
    <row r="73" spans="1:26" ht="12" customHeight="1">
      <c r="A73" s="237"/>
      <c r="B73" s="237"/>
      <c r="C73" s="237"/>
      <c r="D73" s="237"/>
      <c r="E73" s="237"/>
      <c r="F73" s="237"/>
      <c r="G73" s="237"/>
      <c r="H73" s="237"/>
      <c r="I73" s="237"/>
      <c r="J73" s="237"/>
      <c r="K73" s="237"/>
      <c r="L73" s="237"/>
      <c r="M73" s="237"/>
      <c r="N73" s="237"/>
      <c r="O73" s="237"/>
      <c r="P73" s="237"/>
      <c r="Q73" s="1"/>
      <c r="R73" s="1"/>
      <c r="S73" s="1"/>
      <c r="T73" s="1"/>
      <c r="U73" s="1"/>
      <c r="V73" s="1"/>
      <c r="W73" s="1"/>
      <c r="X73" s="1"/>
      <c r="Y73" s="1"/>
      <c r="Z73" s="1"/>
    </row>
    <row r="74" spans="1:26" ht="12" customHeight="1">
      <c r="A74" s="7" t="str">
        <f>IF($D$13="English","Tared load:","Tarierte Last:")</f>
        <v>Tared load:</v>
      </c>
      <c r="B74" s="31"/>
      <c r="C74" s="217"/>
      <c r="D74" s="216"/>
      <c r="E74" s="1" t="s">
        <v>33</v>
      </c>
      <c r="F74" s="1"/>
      <c r="G74" s="6"/>
      <c r="H74" s="1"/>
      <c r="J74" s="17"/>
      <c r="K74" s="1"/>
      <c r="L74" s="1"/>
      <c r="M74" s="1"/>
      <c r="N74" s="1"/>
      <c r="O74" s="1"/>
      <c r="P74" s="1"/>
      <c r="Q74" s="1"/>
      <c r="R74" s="1"/>
      <c r="S74" s="1"/>
      <c r="T74" s="1"/>
      <c r="U74" s="1"/>
      <c r="V74" s="1"/>
      <c r="W74" s="1"/>
      <c r="X74" s="1"/>
      <c r="Y74" s="1"/>
      <c r="Z74" s="1"/>
    </row>
    <row r="75" spans="1:26" ht="12" customHeight="1">
      <c r="A75" s="231" t="s">
        <v>26</v>
      </c>
      <c r="B75" s="223"/>
      <c r="C75" s="220"/>
      <c r="D75" s="19" t="s">
        <v>72</v>
      </c>
      <c r="E75" s="231" t="s">
        <v>27</v>
      </c>
      <c r="F75" s="220"/>
      <c r="G75" s="231" t="s">
        <v>73</v>
      </c>
      <c r="H75" s="220"/>
      <c r="I75" s="18" t="s">
        <v>29</v>
      </c>
      <c r="J75" s="21"/>
      <c r="K75" s="232" t="s">
        <v>111</v>
      </c>
      <c r="L75" s="223"/>
      <c r="M75" s="220"/>
      <c r="N75" s="19" t="s">
        <v>30</v>
      </c>
      <c r="O75" s="308" t="str">
        <f>IF($J$18="M","L calc"," ")</f>
        <v xml:space="preserve"> </v>
      </c>
      <c r="P75" s="220"/>
      <c r="Q75" s="1"/>
      <c r="R75" s="1"/>
      <c r="S75" s="1"/>
      <c r="T75" s="1"/>
      <c r="U75" s="1"/>
      <c r="V75" s="1"/>
      <c r="W75" s="1"/>
      <c r="X75" s="1"/>
      <c r="Y75" s="1"/>
      <c r="Z75" s="1"/>
    </row>
    <row r="76" spans="1:26" ht="12" customHeight="1">
      <c r="A76" s="259" t="s">
        <v>33</v>
      </c>
      <c r="B76" s="223"/>
      <c r="C76" s="220"/>
      <c r="D76" s="51"/>
      <c r="E76" s="231" t="s">
        <v>33</v>
      </c>
      <c r="F76" s="220"/>
      <c r="G76" s="256" t="s">
        <v>33</v>
      </c>
      <c r="H76" s="220"/>
      <c r="I76" s="52" t="s">
        <v>33</v>
      </c>
      <c r="J76" s="52" t="s">
        <v>32</v>
      </c>
      <c r="K76" s="231" t="s">
        <v>33</v>
      </c>
      <c r="L76" s="223"/>
      <c r="M76" s="223"/>
      <c r="N76" s="19" t="s">
        <v>34</v>
      </c>
      <c r="O76" s="308" t="str">
        <f>IF($J$18="M","[kg]"," ")</f>
        <v xml:space="preserve"> </v>
      </c>
      <c r="P76" s="220"/>
      <c r="Q76" s="1"/>
      <c r="R76" s="1"/>
      <c r="S76" s="1"/>
      <c r="T76" s="1"/>
      <c r="U76" s="1"/>
      <c r="V76" s="1"/>
      <c r="W76" s="1"/>
      <c r="X76" s="1"/>
      <c r="Y76" s="1"/>
      <c r="Z76" s="1"/>
    </row>
    <row r="77" spans="1:26" ht="12" customHeight="1">
      <c r="A77" s="217"/>
      <c r="B77" s="215"/>
      <c r="C77" s="216"/>
      <c r="D77" s="51" t="str">
        <f t="shared" ref="D77:D85" si="16">IF($D$10=0," ",A77/$D$10)</f>
        <v xml:space="preserve"> </v>
      </c>
      <c r="E77" s="217"/>
      <c r="F77" s="216"/>
      <c r="G77" s="228" t="str">
        <f t="shared" ref="G77:G85" si="17">IF(E77=0," ",IF($J$18="M",(E77-O77),(E77-A77)))</f>
        <v xml:space="preserve"> </v>
      </c>
      <c r="H77" s="220"/>
      <c r="I77" s="71" t="str">
        <f t="shared" ref="I77:I85" si="18">IF($D$9=0," ",J77*$D$10)</f>
        <v xml:space="preserve"> </v>
      </c>
      <c r="J77" s="26">
        <f t="shared" ref="J77:J85" si="19">IF(D77=0,0,IF(D77&lt;=500,0.5,(IF(D77&lt;=2000,1,IF(D77&gt;2000,1.5," ")))))</f>
        <v>1.5</v>
      </c>
      <c r="K77" s="228" t="str">
        <f t="shared" ref="K77:K85" si="20">IF(E77=0," ",IF($E$45=" "," ",ROUND(G77-$E$45,3)))</f>
        <v xml:space="preserve"> </v>
      </c>
      <c r="L77" s="223"/>
      <c r="M77" s="220"/>
      <c r="N77" s="27" t="str">
        <f t="shared" ref="N77:N85" si="21">IF(K77=" "," ",IF(ABS(K77)&lt;=I77,"Y","N"))</f>
        <v xml:space="preserve"> </v>
      </c>
      <c r="O77" s="307" t="str">
        <f t="shared" ref="O77:O85" si="22">IF($J$18="M",A77*(1-($K$21-$D$21)/$D$21)," ")</f>
        <v xml:space="preserve"> </v>
      </c>
      <c r="P77" s="220"/>
      <c r="Q77" s="1"/>
      <c r="R77" s="1"/>
      <c r="S77" s="1"/>
      <c r="T77" s="1"/>
      <c r="U77" s="1"/>
      <c r="V77" s="1"/>
      <c r="W77" s="1"/>
      <c r="X77" s="1"/>
      <c r="Y77" s="1"/>
      <c r="Z77" s="1"/>
    </row>
    <row r="78" spans="1:26" ht="12" customHeight="1">
      <c r="A78" s="217"/>
      <c r="B78" s="215"/>
      <c r="C78" s="216"/>
      <c r="D78" s="51" t="str">
        <f t="shared" si="16"/>
        <v xml:space="preserve"> </v>
      </c>
      <c r="E78" s="217"/>
      <c r="F78" s="216"/>
      <c r="G78" s="228" t="str">
        <f t="shared" si="17"/>
        <v xml:space="preserve"> </v>
      </c>
      <c r="H78" s="220"/>
      <c r="I78" s="71" t="str">
        <f t="shared" si="18"/>
        <v xml:space="preserve"> </v>
      </c>
      <c r="J78" s="26">
        <f t="shared" si="19"/>
        <v>1.5</v>
      </c>
      <c r="K78" s="228" t="str">
        <f t="shared" si="20"/>
        <v xml:space="preserve"> </v>
      </c>
      <c r="L78" s="223"/>
      <c r="M78" s="220"/>
      <c r="N78" s="27" t="str">
        <f t="shared" si="21"/>
        <v xml:space="preserve"> </v>
      </c>
      <c r="O78" s="307" t="str">
        <f t="shared" si="22"/>
        <v xml:space="preserve"> </v>
      </c>
      <c r="P78" s="220"/>
      <c r="Q78" s="1"/>
      <c r="R78" s="1"/>
      <c r="S78" s="1"/>
      <c r="T78" s="1"/>
      <c r="U78" s="1"/>
      <c r="V78" s="1"/>
      <c r="W78" s="1"/>
      <c r="X78" s="1"/>
      <c r="Y78" s="1"/>
      <c r="Z78" s="1"/>
    </row>
    <row r="79" spans="1:26" ht="12" customHeight="1">
      <c r="A79" s="217"/>
      <c r="B79" s="215"/>
      <c r="C79" s="216"/>
      <c r="D79" s="51" t="str">
        <f t="shared" si="16"/>
        <v xml:space="preserve"> </v>
      </c>
      <c r="E79" s="217"/>
      <c r="F79" s="216"/>
      <c r="G79" s="228" t="str">
        <f t="shared" si="17"/>
        <v xml:space="preserve"> </v>
      </c>
      <c r="H79" s="220"/>
      <c r="I79" s="71" t="str">
        <f t="shared" si="18"/>
        <v xml:space="preserve"> </v>
      </c>
      <c r="J79" s="26">
        <f t="shared" si="19"/>
        <v>1.5</v>
      </c>
      <c r="K79" s="228" t="str">
        <f t="shared" si="20"/>
        <v xml:space="preserve"> </v>
      </c>
      <c r="L79" s="223"/>
      <c r="M79" s="220"/>
      <c r="N79" s="27" t="str">
        <f t="shared" si="21"/>
        <v xml:space="preserve"> </v>
      </c>
      <c r="O79" s="307" t="str">
        <f t="shared" si="22"/>
        <v xml:space="preserve"> </v>
      </c>
      <c r="P79" s="220"/>
      <c r="Q79" s="1"/>
      <c r="R79" s="1"/>
      <c r="S79" s="1"/>
      <c r="T79" s="1"/>
      <c r="U79" s="1"/>
      <c r="V79" s="1"/>
      <c r="W79" s="1"/>
      <c r="X79" s="1"/>
      <c r="Y79" s="1"/>
      <c r="Z79" s="1"/>
    </row>
    <row r="80" spans="1:26" ht="12" customHeight="1">
      <c r="A80" s="217"/>
      <c r="B80" s="215"/>
      <c r="C80" s="216"/>
      <c r="D80" s="51" t="str">
        <f t="shared" si="16"/>
        <v xml:space="preserve"> </v>
      </c>
      <c r="E80" s="217"/>
      <c r="F80" s="216"/>
      <c r="G80" s="228" t="str">
        <f t="shared" si="17"/>
        <v xml:space="preserve"> </v>
      </c>
      <c r="H80" s="220"/>
      <c r="I80" s="71" t="str">
        <f t="shared" si="18"/>
        <v xml:space="preserve"> </v>
      </c>
      <c r="J80" s="26">
        <f t="shared" si="19"/>
        <v>1.5</v>
      </c>
      <c r="K80" s="228" t="str">
        <f t="shared" si="20"/>
        <v xml:space="preserve"> </v>
      </c>
      <c r="L80" s="223"/>
      <c r="M80" s="220"/>
      <c r="N80" s="27" t="str">
        <f t="shared" si="21"/>
        <v xml:space="preserve"> </v>
      </c>
      <c r="O80" s="307" t="str">
        <f t="shared" si="22"/>
        <v xml:space="preserve"> </v>
      </c>
      <c r="P80" s="220"/>
      <c r="Q80" s="1"/>
      <c r="R80" s="1"/>
      <c r="S80" s="1"/>
      <c r="T80" s="1"/>
      <c r="U80" s="1"/>
      <c r="V80" s="1"/>
      <c r="W80" s="1"/>
      <c r="X80" s="1"/>
      <c r="Y80" s="1"/>
      <c r="Z80" s="1"/>
    </row>
    <row r="81" spans="1:26" ht="12" customHeight="1">
      <c r="A81" s="217"/>
      <c r="B81" s="215"/>
      <c r="C81" s="216"/>
      <c r="D81" s="51" t="str">
        <f t="shared" si="16"/>
        <v xml:space="preserve"> </v>
      </c>
      <c r="E81" s="217"/>
      <c r="F81" s="216"/>
      <c r="G81" s="228" t="str">
        <f t="shared" si="17"/>
        <v xml:space="preserve"> </v>
      </c>
      <c r="H81" s="220"/>
      <c r="I81" s="71" t="str">
        <f t="shared" si="18"/>
        <v xml:space="preserve"> </v>
      </c>
      <c r="J81" s="26">
        <f t="shared" si="19"/>
        <v>1.5</v>
      </c>
      <c r="K81" s="228" t="str">
        <f t="shared" si="20"/>
        <v xml:space="preserve"> </v>
      </c>
      <c r="L81" s="223"/>
      <c r="M81" s="220"/>
      <c r="N81" s="27" t="str">
        <f t="shared" si="21"/>
        <v xml:space="preserve"> </v>
      </c>
      <c r="O81" s="307" t="str">
        <f t="shared" si="22"/>
        <v xml:space="preserve"> </v>
      </c>
      <c r="P81" s="220"/>
      <c r="Q81" s="1"/>
      <c r="R81" s="1"/>
      <c r="S81" s="1"/>
      <c r="T81" s="1"/>
      <c r="U81" s="1"/>
      <c r="V81" s="1"/>
      <c r="W81" s="1"/>
      <c r="X81" s="1"/>
      <c r="Y81" s="1"/>
      <c r="Z81" s="1"/>
    </row>
    <row r="82" spans="1:26" ht="12" customHeight="1">
      <c r="A82" s="266">
        <f>A80</f>
        <v>0</v>
      </c>
      <c r="B82" s="223"/>
      <c r="C82" s="220"/>
      <c r="D82" s="51" t="str">
        <f t="shared" si="16"/>
        <v xml:space="preserve"> </v>
      </c>
      <c r="E82" s="217"/>
      <c r="F82" s="216"/>
      <c r="G82" s="228" t="str">
        <f t="shared" si="17"/>
        <v xml:space="preserve"> </v>
      </c>
      <c r="H82" s="220"/>
      <c r="I82" s="71" t="str">
        <f t="shared" si="18"/>
        <v xml:space="preserve"> </v>
      </c>
      <c r="J82" s="26">
        <f t="shared" si="19"/>
        <v>1.5</v>
      </c>
      <c r="K82" s="228" t="str">
        <f t="shared" si="20"/>
        <v xml:space="preserve"> </v>
      </c>
      <c r="L82" s="223"/>
      <c r="M82" s="220"/>
      <c r="N82" s="27" t="str">
        <f t="shared" si="21"/>
        <v xml:space="preserve"> </v>
      </c>
      <c r="O82" s="307" t="str">
        <f t="shared" si="22"/>
        <v xml:space="preserve"> </v>
      </c>
      <c r="P82" s="220"/>
      <c r="Q82" s="17"/>
      <c r="R82" s="17"/>
      <c r="S82" s="1"/>
      <c r="T82" s="1"/>
      <c r="U82" s="1"/>
      <c r="V82" s="1"/>
      <c r="W82" s="1"/>
      <c r="X82" s="1"/>
      <c r="Y82" s="1"/>
      <c r="Z82" s="1"/>
    </row>
    <row r="83" spans="1:26" ht="12" customHeight="1">
      <c r="A83" s="266">
        <f>A79</f>
        <v>0</v>
      </c>
      <c r="B83" s="223"/>
      <c r="C83" s="220"/>
      <c r="D83" s="51" t="str">
        <f t="shared" si="16"/>
        <v xml:space="preserve"> </v>
      </c>
      <c r="E83" s="217"/>
      <c r="F83" s="216"/>
      <c r="G83" s="228" t="str">
        <f t="shared" si="17"/>
        <v xml:space="preserve"> </v>
      </c>
      <c r="H83" s="220"/>
      <c r="I83" s="71" t="str">
        <f t="shared" si="18"/>
        <v xml:space="preserve"> </v>
      </c>
      <c r="J83" s="26">
        <f t="shared" si="19"/>
        <v>1.5</v>
      </c>
      <c r="K83" s="228" t="str">
        <f t="shared" si="20"/>
        <v xml:space="preserve"> </v>
      </c>
      <c r="L83" s="223"/>
      <c r="M83" s="220"/>
      <c r="N83" s="27" t="str">
        <f t="shared" si="21"/>
        <v xml:space="preserve"> </v>
      </c>
      <c r="O83" s="307" t="str">
        <f t="shared" si="22"/>
        <v xml:space="preserve"> </v>
      </c>
      <c r="P83" s="220"/>
      <c r="Q83" s="17"/>
      <c r="R83" s="17"/>
      <c r="S83" s="1"/>
      <c r="T83" s="1"/>
      <c r="U83" s="1"/>
      <c r="V83" s="1"/>
      <c r="W83" s="1"/>
      <c r="X83" s="1"/>
      <c r="Y83" s="1"/>
      <c r="Z83" s="1"/>
    </row>
    <row r="84" spans="1:26" ht="12" customHeight="1">
      <c r="A84" s="266">
        <f>A78</f>
        <v>0</v>
      </c>
      <c r="B84" s="223"/>
      <c r="C84" s="220"/>
      <c r="D84" s="51" t="str">
        <f t="shared" si="16"/>
        <v xml:space="preserve"> </v>
      </c>
      <c r="E84" s="217"/>
      <c r="F84" s="216"/>
      <c r="G84" s="228" t="str">
        <f t="shared" si="17"/>
        <v xml:space="preserve"> </v>
      </c>
      <c r="H84" s="220"/>
      <c r="I84" s="71" t="str">
        <f t="shared" si="18"/>
        <v xml:space="preserve"> </v>
      </c>
      <c r="J84" s="26">
        <f t="shared" si="19"/>
        <v>1.5</v>
      </c>
      <c r="K84" s="228" t="str">
        <f t="shared" si="20"/>
        <v xml:space="preserve"> </v>
      </c>
      <c r="L84" s="223"/>
      <c r="M84" s="220"/>
      <c r="N84" s="27" t="str">
        <f t="shared" si="21"/>
        <v xml:space="preserve"> </v>
      </c>
      <c r="O84" s="307" t="str">
        <f t="shared" si="22"/>
        <v xml:space="preserve"> </v>
      </c>
      <c r="P84" s="220"/>
      <c r="Q84" s="17"/>
      <c r="R84" s="17"/>
      <c r="S84" s="1"/>
      <c r="T84" s="1"/>
      <c r="U84" s="1"/>
      <c r="V84" s="1"/>
      <c r="W84" s="1"/>
      <c r="X84" s="1"/>
      <c r="Y84" s="1"/>
      <c r="Z84" s="1"/>
    </row>
    <row r="85" spans="1:26" ht="12" customHeight="1">
      <c r="A85" s="266">
        <f>A77</f>
        <v>0</v>
      </c>
      <c r="B85" s="223"/>
      <c r="C85" s="220"/>
      <c r="D85" s="51" t="str">
        <f t="shared" si="16"/>
        <v xml:space="preserve"> </v>
      </c>
      <c r="E85" s="217"/>
      <c r="F85" s="216"/>
      <c r="G85" s="228" t="str">
        <f t="shared" si="17"/>
        <v xml:space="preserve"> </v>
      </c>
      <c r="H85" s="220"/>
      <c r="I85" s="71" t="str">
        <f t="shared" si="18"/>
        <v xml:space="preserve"> </v>
      </c>
      <c r="J85" s="26">
        <f t="shared" si="19"/>
        <v>1.5</v>
      </c>
      <c r="K85" s="228" t="str">
        <f t="shared" si="20"/>
        <v xml:space="preserve"> </v>
      </c>
      <c r="L85" s="223"/>
      <c r="M85" s="220"/>
      <c r="N85" s="27" t="str">
        <f t="shared" si="21"/>
        <v xml:space="preserve"> </v>
      </c>
      <c r="O85" s="307" t="str">
        <f t="shared" si="22"/>
        <v xml:space="preserve"> </v>
      </c>
      <c r="P85" s="220"/>
      <c r="Q85" s="17"/>
      <c r="R85" s="17"/>
      <c r="S85" s="1"/>
      <c r="T85" s="1"/>
      <c r="U85" s="1"/>
      <c r="V85" s="1"/>
      <c r="W85" s="1"/>
      <c r="X85" s="1"/>
      <c r="Y85" s="1"/>
      <c r="Z85" s="1"/>
    </row>
    <row r="86" spans="1:26" ht="12" customHeight="1">
      <c r="A86" s="1"/>
      <c r="B86" s="53"/>
      <c r="C86" s="40"/>
      <c r="D86" s="1"/>
      <c r="E86" s="1"/>
      <c r="F86" s="1"/>
      <c r="G86" s="31"/>
      <c r="H86" s="31"/>
      <c r="I86" s="1"/>
      <c r="J86" s="1"/>
      <c r="K86" s="1"/>
      <c r="L86" s="54"/>
      <c r="M86" s="6" t="str">
        <f>IF($D$13="English","Test passed?","Test bestanden?")</f>
        <v>Test passed?</v>
      </c>
      <c r="N86" s="27" t="str">
        <f>IF(AND(N77="Y",N78="Y",N79="Y",N80="Y",N81="Y",N82="Y",N83="Y",N84="Y",N85="Y"),"Y","N")</f>
        <v>N</v>
      </c>
      <c r="O86" s="17"/>
      <c r="P86" s="1"/>
      <c r="Q86" s="1"/>
      <c r="R86" s="1"/>
      <c r="S86" s="1"/>
      <c r="T86" s="1"/>
      <c r="U86" s="1"/>
      <c r="V86" s="1"/>
      <c r="W86" s="1"/>
      <c r="X86" s="1"/>
      <c r="Y86" s="1"/>
      <c r="Z86" s="1"/>
    </row>
    <row r="87" spans="1:26" ht="12" customHeight="1">
      <c r="A87" s="47"/>
      <c r="B87" s="50"/>
      <c r="C87" s="50"/>
      <c r="D87" s="50"/>
      <c r="E87" s="50"/>
      <c r="F87" s="50"/>
      <c r="G87" s="50"/>
      <c r="H87" s="50"/>
      <c r="I87" s="50"/>
      <c r="J87" s="50"/>
      <c r="K87" s="50"/>
      <c r="L87" s="50"/>
      <c r="M87" s="50"/>
      <c r="N87" s="50"/>
      <c r="O87" s="50"/>
      <c r="P87" s="50"/>
      <c r="Q87" s="1"/>
      <c r="R87" s="1"/>
      <c r="S87" s="1"/>
      <c r="T87" s="1"/>
      <c r="U87" s="1"/>
      <c r="V87" s="1"/>
      <c r="W87" s="1"/>
      <c r="X87" s="1"/>
      <c r="Y87" s="1"/>
      <c r="Z87" s="1"/>
    </row>
    <row r="88" spans="1:26" ht="12" customHeight="1">
      <c r="A88" s="7" t="str">
        <f>IF($D$13="English","6.  Eccentricity Test (Indicator in hi-res mode)","6.  Prüfung bei Außermittiger Belastung (Indicator in hi-res mode)")</f>
        <v>6.  Eccentricity Test (Indicator in hi-res mode)</v>
      </c>
      <c r="B88" s="1"/>
      <c r="C88" s="6"/>
      <c r="D88" s="8"/>
      <c r="E88" s="8"/>
      <c r="F88" s="1"/>
      <c r="G88" s="1"/>
      <c r="H88" s="1" t="str">
        <f>IF($D$13="English","accordance to EN45501-2015, A.4.7","gemäß EN45501-2015, A.4.7")</f>
        <v>accordance to EN45501-2015, A.4.7</v>
      </c>
      <c r="I88" s="1"/>
      <c r="J88" s="1"/>
      <c r="K88" s="6"/>
      <c r="L88" s="6"/>
      <c r="M88" s="6"/>
      <c r="N88" s="1"/>
      <c r="O88" s="1"/>
      <c r="P88" s="1"/>
      <c r="Q88" s="1"/>
      <c r="R88" s="1"/>
      <c r="S88" s="1"/>
      <c r="T88" s="1"/>
      <c r="U88" s="1"/>
      <c r="V88" s="1"/>
      <c r="W88" s="1"/>
      <c r="X88" s="1"/>
      <c r="Y88" s="1"/>
      <c r="Z88" s="1"/>
    </row>
    <row r="89" spans="1:26" ht="15" customHeight="1">
      <c r="A89" s="7"/>
      <c r="B89" s="7" t="str">
        <f>IF($D$13="English","Load position","Belastungsort")</f>
        <v>Load position</v>
      </c>
      <c r="C89" s="1"/>
      <c r="D89" s="1"/>
      <c r="E89" s="1"/>
      <c r="F89" s="1"/>
      <c r="G89" s="1"/>
      <c r="H89" s="1"/>
      <c r="I89" s="1"/>
      <c r="J89" s="1"/>
      <c r="K89" s="1"/>
      <c r="L89" s="1"/>
      <c r="M89" s="1"/>
      <c r="N89" s="1"/>
      <c r="O89" s="1"/>
      <c r="P89" s="1"/>
      <c r="R89" s="1"/>
      <c r="S89" s="1"/>
      <c r="T89" s="1"/>
      <c r="U89" s="1"/>
      <c r="V89" s="1"/>
      <c r="W89" s="1"/>
      <c r="X89" s="1"/>
      <c r="Y89" s="1"/>
      <c r="Z89" s="1"/>
    </row>
    <row r="90" spans="1:26" ht="12" customHeight="1">
      <c r="A90" s="7"/>
      <c r="B90" s="55">
        <v>1</v>
      </c>
      <c r="C90" s="56"/>
      <c r="D90" s="57">
        <f>IF($Q$95="Y",2,4)</f>
        <v>4</v>
      </c>
      <c r="E90" s="58"/>
      <c r="F90" s="57">
        <f>IF(AND($G$95=4,Q95="N")," ",IF($Q$95="Y",3,5))</f>
        <v>5</v>
      </c>
      <c r="G90" s="56"/>
      <c r="H90" s="57" t="str">
        <f>IF(AND(OR($G$95=4,$G$95=6),Q95="N")," ",IF($Q$95="Y",4,8))</f>
        <v xml:space="preserve"> </v>
      </c>
      <c r="I90" s="56"/>
      <c r="J90" s="57" t="str">
        <f>IF(AND(OR($G$95=4,$G$95=6,$G$95=8),$Q$95="N")," ",IF($Q$95="Y"," ",9))</f>
        <v xml:space="preserve"> </v>
      </c>
      <c r="K90" s="56"/>
      <c r="O90" s="1"/>
      <c r="P90" s="1"/>
      <c r="Q90" s="23" t="s">
        <v>76</v>
      </c>
      <c r="R90" s="1"/>
      <c r="S90" s="1"/>
      <c r="T90" s="1"/>
      <c r="U90" s="1"/>
      <c r="V90" s="1"/>
      <c r="W90" s="1"/>
      <c r="X90" s="1"/>
      <c r="Y90" s="1"/>
      <c r="Z90" s="1"/>
    </row>
    <row r="91" spans="1:26" ht="12" customHeight="1">
      <c r="A91" s="7"/>
      <c r="B91" s="59"/>
      <c r="C91" s="60"/>
      <c r="D91" s="61"/>
      <c r="E91" s="61"/>
      <c r="F91" s="62"/>
      <c r="G91" s="60"/>
      <c r="H91" s="61"/>
      <c r="I91" s="60"/>
      <c r="J91" s="59"/>
      <c r="K91" s="60"/>
      <c r="L91" s="1"/>
      <c r="M91" s="1"/>
      <c r="N91" s="1"/>
      <c r="O91" s="1"/>
      <c r="P91" s="1"/>
      <c r="Q91" s="1"/>
      <c r="R91" s="1"/>
      <c r="S91" s="1"/>
      <c r="T91" s="1"/>
      <c r="U91" s="1"/>
      <c r="V91" s="1"/>
      <c r="W91" s="1"/>
      <c r="X91" s="1"/>
      <c r="Y91" s="1"/>
      <c r="Z91" s="1"/>
    </row>
    <row r="92" spans="1:26" ht="12" customHeight="1">
      <c r="A92" s="7"/>
      <c r="B92" s="55">
        <f>IF($Q$95="Y"," ",2)</f>
        <v>2</v>
      </c>
      <c r="C92" s="63" t="s">
        <v>77</v>
      </c>
      <c r="D92" s="55">
        <f>IF($Q$95="Y"," ",3)</f>
        <v>3</v>
      </c>
      <c r="E92" s="58"/>
      <c r="F92" s="57">
        <f>IF($G$95=4," ",IF($Q$95="Y"," ",6))</f>
        <v>6</v>
      </c>
      <c r="G92" s="63"/>
      <c r="H92" s="57" t="str">
        <f>IF(OR($G$95=4,$G$95=6)," ",IF($Q$95="Y"," ",7))</f>
        <v xml:space="preserve"> </v>
      </c>
      <c r="I92" s="63"/>
      <c r="J92" s="57" t="str">
        <f>IF(AND(OR($G$95=4,$G$95=6,$G$95=8),$Q$95="N")," ",IF($Q$95="Y"," ",10))</f>
        <v xml:space="preserve"> </v>
      </c>
      <c r="K92" s="56"/>
      <c r="L92" s="1"/>
      <c r="M92" s="1"/>
      <c r="N92" s="1"/>
      <c r="O92" s="1"/>
      <c r="P92" s="1"/>
      <c r="Q92" s="1"/>
      <c r="R92" s="1"/>
      <c r="S92" s="1"/>
      <c r="T92" s="1"/>
      <c r="U92" s="1"/>
      <c r="V92" s="1"/>
      <c r="W92" s="1"/>
      <c r="X92" s="1"/>
      <c r="Y92" s="1"/>
      <c r="Z92" s="1"/>
    </row>
    <row r="93" spans="1:26" ht="12" customHeight="1">
      <c r="A93" s="7"/>
      <c r="B93" s="59"/>
      <c r="C93" s="60"/>
      <c r="D93" s="61"/>
      <c r="E93" s="64"/>
      <c r="F93" s="61"/>
      <c r="G93" s="60"/>
      <c r="H93" s="61"/>
      <c r="I93" s="60"/>
      <c r="J93" s="59"/>
      <c r="K93" s="60"/>
      <c r="L93" s="1"/>
      <c r="M93" s="1"/>
      <c r="N93" s="1"/>
      <c r="O93" s="1"/>
      <c r="P93" s="1"/>
      <c r="Q93" s="1"/>
      <c r="R93" s="1"/>
      <c r="S93" s="1"/>
      <c r="T93" s="1"/>
      <c r="U93" s="1"/>
      <c r="V93" s="1"/>
      <c r="W93" s="1"/>
      <c r="X93" s="1"/>
      <c r="Y93" s="1"/>
      <c r="Z93" s="1"/>
    </row>
    <row r="94" spans="1:26" ht="12" customHeight="1">
      <c r="A94" s="7"/>
      <c r="B94" s="1"/>
      <c r="C94" s="1"/>
      <c r="D94" s="1"/>
      <c r="E94" s="1"/>
      <c r="F94" s="1"/>
      <c r="G94" s="1"/>
      <c r="H94" s="1"/>
      <c r="I94" s="1"/>
      <c r="J94" s="236" t="str">
        <f>IF($D$13="English","Load positions in one line (e.g. weighing belt)?","Belastungsorte in einer Reihe (z.B. Bandwaage)?")</f>
        <v>Load positions in one line (e.g. weighing belt)?</v>
      </c>
      <c r="K94" s="237"/>
      <c r="L94" s="237"/>
      <c r="M94" s="237"/>
      <c r="N94" s="237"/>
      <c r="O94" s="237"/>
      <c r="P94" s="1"/>
      <c r="Q94" s="1"/>
      <c r="R94" s="1"/>
      <c r="S94" s="1"/>
      <c r="T94" s="1"/>
      <c r="U94" s="1"/>
      <c r="V94" s="1"/>
      <c r="W94" s="1"/>
      <c r="X94" s="1"/>
      <c r="Y94" s="1"/>
      <c r="Z94" s="1"/>
    </row>
    <row r="95" spans="1:26" ht="12" customHeight="1">
      <c r="A95" s="7"/>
      <c r="B95" s="1" t="str">
        <f>IF($D$13="English","number of load carrier","Anzahl Auflager")</f>
        <v>number of load carrier</v>
      </c>
      <c r="C95" s="1"/>
      <c r="F95" s="23" t="s">
        <v>76</v>
      </c>
      <c r="G95" s="171">
        <v>6</v>
      </c>
      <c r="H95" s="1"/>
      <c r="I95" s="1"/>
      <c r="J95" s="237"/>
      <c r="K95" s="237"/>
      <c r="L95" s="237"/>
      <c r="M95" s="237"/>
      <c r="N95" s="237"/>
      <c r="O95" s="237"/>
      <c r="Q95" s="172" t="s">
        <v>78</v>
      </c>
      <c r="R95" s="1"/>
      <c r="S95" s="1"/>
      <c r="T95" s="1"/>
      <c r="U95" s="1"/>
      <c r="V95" s="1"/>
      <c r="W95" s="1"/>
      <c r="X95" s="1"/>
      <c r="Y95" s="1"/>
      <c r="Z95" s="1"/>
    </row>
    <row r="96" spans="1:26" ht="12" customHeight="1">
      <c r="A96" s="7"/>
      <c r="B96" s="1"/>
      <c r="C96" s="1"/>
      <c r="D96" s="1"/>
      <c r="E96" s="1"/>
      <c r="F96" s="1"/>
      <c r="G96" s="1"/>
      <c r="H96" s="1"/>
      <c r="I96" s="1"/>
      <c r="J96" s="66"/>
      <c r="K96" s="1"/>
      <c r="L96" s="1"/>
      <c r="M96" s="1"/>
      <c r="N96" s="1"/>
      <c r="R96" s="1"/>
      <c r="S96" s="1"/>
      <c r="T96" s="1"/>
      <c r="U96" s="1"/>
      <c r="V96" s="1"/>
      <c r="W96" s="1"/>
      <c r="X96" s="1"/>
      <c r="Y96" s="1"/>
      <c r="Z96" s="1"/>
    </row>
    <row r="97" spans="1:26" ht="21.75" customHeight="1">
      <c r="A97" s="264" t="str">
        <f>IF($D$13="English","load must be about","ungefähre Last")</f>
        <v>load must be about</v>
      </c>
      <c r="B97" s="220"/>
      <c r="C97" s="67" t="s">
        <v>26</v>
      </c>
      <c r="D97" s="126"/>
      <c r="E97" s="68"/>
      <c r="F97" s="67" t="s">
        <v>27</v>
      </c>
      <c r="G97" s="68"/>
      <c r="H97" s="265" t="s">
        <v>28</v>
      </c>
      <c r="I97" s="220"/>
      <c r="J97" s="67" t="s">
        <v>29</v>
      </c>
      <c r="K97" s="68"/>
      <c r="L97" s="69" t="s">
        <v>30</v>
      </c>
      <c r="M97" s="65"/>
      <c r="N97" s="65"/>
      <c r="O97" s="34"/>
      <c r="P97" s="308" t="str">
        <f>IF($J$18="M","L calc"," ")</f>
        <v xml:space="preserve"> </v>
      </c>
      <c r="Q97" s="220"/>
      <c r="R97" s="65"/>
      <c r="S97" s="65"/>
      <c r="T97" s="65"/>
      <c r="U97" s="65"/>
      <c r="V97" s="65"/>
      <c r="W97" s="65"/>
      <c r="X97" s="65"/>
      <c r="Y97" s="65"/>
      <c r="Z97" s="65"/>
    </row>
    <row r="98" spans="1:26" ht="12" customHeight="1">
      <c r="A98" s="231" t="s">
        <v>33</v>
      </c>
      <c r="B98" s="220"/>
      <c r="C98" s="18" t="s">
        <v>32</v>
      </c>
      <c r="D98" s="20" t="s">
        <v>79</v>
      </c>
      <c r="E98" s="21" t="s">
        <v>33</v>
      </c>
      <c r="F98" s="18" t="s">
        <v>33</v>
      </c>
      <c r="G98" s="70"/>
      <c r="H98" s="231" t="s">
        <v>33</v>
      </c>
      <c r="I98" s="220"/>
      <c r="J98" s="19" t="s">
        <v>33</v>
      </c>
      <c r="K98" s="21" t="s">
        <v>32</v>
      </c>
      <c r="L98" s="19" t="s">
        <v>34</v>
      </c>
      <c r="M98" s="1"/>
      <c r="N98" s="1"/>
      <c r="P98" s="308" t="str">
        <f>IF($J$18="M","[kg]"," ")</f>
        <v xml:space="preserve"> </v>
      </c>
      <c r="Q98" s="220"/>
      <c r="R98" s="1"/>
      <c r="S98" s="1"/>
      <c r="T98" s="1"/>
      <c r="U98" s="1"/>
      <c r="V98" s="1"/>
      <c r="W98" s="1"/>
      <c r="X98" s="1"/>
      <c r="Y98" s="1"/>
      <c r="Z98" s="1"/>
    </row>
    <row r="99" spans="1:26" ht="12" customHeight="1">
      <c r="A99" s="263">
        <f t="shared" ref="A99:A102" si="23">ROUND($D$9/($G$95-1),-0.01)</f>
        <v>0</v>
      </c>
      <c r="B99" s="220"/>
      <c r="C99" s="11" t="str">
        <f>IF($D$10=0," ",E99/$D$10)</f>
        <v xml:space="preserve"> </v>
      </c>
      <c r="D99" s="20">
        <v>1</v>
      </c>
      <c r="E99" s="173"/>
      <c r="F99" s="230"/>
      <c r="G99" s="216"/>
      <c r="H99" s="228" t="str">
        <f t="shared" ref="H99:H108" si="24">IF(F99=0," ",IF($J$18="M",(F99-P99),(F99-E99)))</f>
        <v xml:space="preserve"> </v>
      </c>
      <c r="I99" s="220"/>
      <c r="J99" s="71">
        <f t="shared" ref="J99:J108" si="25">PRODUCT($D$10,K99)</f>
        <v>0</v>
      </c>
      <c r="K99" s="26">
        <f t="shared" ref="K99:K108" si="26">IF(C99=" ",0,IF(C99&lt;=500,0.5,(IF(C99&lt;=2000,1,IF(C99&gt;2000,1.5," ")))))</f>
        <v>0</v>
      </c>
      <c r="L99" s="27" t="str">
        <f t="shared" ref="L99:L108" si="27">IF(F99=0," ",IF(ABS(H99)&lt;=J99,"Y","N"))</f>
        <v xml:space="preserve"> </v>
      </c>
      <c r="M99" s="1"/>
      <c r="P99" s="307" t="str">
        <f t="shared" ref="P99:P108" si="28">IF(E99=" "," ",IF($J$18="M",E99*(1-($K$21-$D$21)/$D$21)," "))</f>
        <v xml:space="preserve"> </v>
      </c>
      <c r="Q99" s="220"/>
      <c r="R99" s="1"/>
      <c r="S99" s="1"/>
      <c r="T99" s="1"/>
      <c r="U99" s="1"/>
      <c r="V99" s="1"/>
      <c r="W99" s="1"/>
      <c r="X99" s="1"/>
      <c r="Y99" s="1"/>
      <c r="Z99" s="1"/>
    </row>
    <row r="100" spans="1:26" ht="12" customHeight="1">
      <c r="A100" s="263">
        <f t="shared" si="23"/>
        <v>0</v>
      </c>
      <c r="B100" s="220"/>
      <c r="C100" s="11" t="str">
        <f t="shared" ref="C100:C102" si="29">IF($D$10=0," ",IF(E100=" ",0,E100/$D$10))</f>
        <v xml:space="preserve"> </v>
      </c>
      <c r="D100" s="20">
        <v>2</v>
      </c>
      <c r="E100" s="72" t="str">
        <f t="shared" ref="E100:E102" si="30">IF($G$95&gt;1,IF($E$99=0," ",$E$99)," ")</f>
        <v xml:space="preserve"> </v>
      </c>
      <c r="F100" s="230"/>
      <c r="G100" s="216"/>
      <c r="H100" s="228" t="str">
        <f t="shared" si="24"/>
        <v xml:space="preserve"> </v>
      </c>
      <c r="I100" s="220"/>
      <c r="J100" s="71">
        <f t="shared" si="25"/>
        <v>0</v>
      </c>
      <c r="K100" s="26">
        <f t="shared" si="26"/>
        <v>0</v>
      </c>
      <c r="L100" s="27" t="str">
        <f t="shared" si="27"/>
        <v xml:space="preserve"> </v>
      </c>
      <c r="N100" s="73" t="str">
        <f>IF(AND(L99="Y",L100="Y",L101="Y",L102="Y"),"Y","N")</f>
        <v>N</v>
      </c>
      <c r="P100" s="307" t="str">
        <f t="shared" si="28"/>
        <v xml:space="preserve"> </v>
      </c>
      <c r="Q100" s="220"/>
      <c r="R100" s="1"/>
      <c r="S100" s="1"/>
      <c r="T100" s="1"/>
      <c r="U100" s="1"/>
      <c r="V100" s="1"/>
      <c r="W100" s="1"/>
      <c r="X100" s="1"/>
      <c r="Y100" s="1"/>
      <c r="Z100" s="1"/>
    </row>
    <row r="101" spans="1:26" ht="12" customHeight="1">
      <c r="A101" s="263">
        <f t="shared" si="23"/>
        <v>0</v>
      </c>
      <c r="B101" s="220"/>
      <c r="C101" s="11" t="str">
        <f t="shared" si="29"/>
        <v xml:space="preserve"> </v>
      </c>
      <c r="D101" s="20">
        <v>3</v>
      </c>
      <c r="E101" s="72" t="str">
        <f t="shared" si="30"/>
        <v xml:space="preserve"> </v>
      </c>
      <c r="F101" s="230"/>
      <c r="G101" s="216"/>
      <c r="H101" s="228" t="str">
        <f t="shared" si="24"/>
        <v xml:space="preserve"> </v>
      </c>
      <c r="I101" s="220"/>
      <c r="J101" s="71">
        <f t="shared" si="25"/>
        <v>0</v>
      </c>
      <c r="K101" s="26">
        <f t="shared" si="26"/>
        <v>0</v>
      </c>
      <c r="L101" s="27" t="str">
        <f t="shared" si="27"/>
        <v xml:space="preserve"> </v>
      </c>
      <c r="N101" s="73" t="str">
        <f>IF(AND(L99="Y",L100="Y",L101="Y",L102="Y",L103="Y",L104="Y"),"Y","N")</f>
        <v>N</v>
      </c>
      <c r="P101" s="307" t="str">
        <f t="shared" si="28"/>
        <v xml:space="preserve"> </v>
      </c>
      <c r="Q101" s="220"/>
      <c r="R101" s="1"/>
      <c r="S101" s="1"/>
      <c r="T101" s="1"/>
      <c r="U101" s="1"/>
      <c r="V101" s="1"/>
      <c r="W101" s="1"/>
      <c r="X101" s="1"/>
      <c r="Y101" s="1"/>
      <c r="Z101" s="1"/>
    </row>
    <row r="102" spans="1:26" ht="12" customHeight="1">
      <c r="A102" s="263">
        <f t="shared" si="23"/>
        <v>0</v>
      </c>
      <c r="B102" s="220"/>
      <c r="C102" s="11" t="str">
        <f t="shared" si="29"/>
        <v xml:space="preserve"> </v>
      </c>
      <c r="D102" s="20">
        <v>4</v>
      </c>
      <c r="E102" s="72" t="str">
        <f t="shared" si="30"/>
        <v xml:space="preserve"> </v>
      </c>
      <c r="F102" s="230"/>
      <c r="G102" s="216"/>
      <c r="H102" s="228" t="str">
        <f t="shared" si="24"/>
        <v xml:space="preserve"> </v>
      </c>
      <c r="I102" s="220"/>
      <c r="J102" s="71">
        <f t="shared" si="25"/>
        <v>0</v>
      </c>
      <c r="K102" s="26">
        <f t="shared" si="26"/>
        <v>0</v>
      </c>
      <c r="L102" s="27" t="str">
        <f t="shared" si="27"/>
        <v xml:space="preserve"> </v>
      </c>
      <c r="N102" s="73" t="str">
        <f>IF(AND(L99="Y",L100="Y",L101="Y",L102="Y",L103="Y",L104="Y",L105="Y",L106="Y"),"Y","N")</f>
        <v>N</v>
      </c>
      <c r="P102" s="307" t="str">
        <f t="shared" si="28"/>
        <v xml:space="preserve"> </v>
      </c>
      <c r="Q102" s="220"/>
      <c r="R102" s="1"/>
      <c r="S102" s="1"/>
      <c r="T102" s="1"/>
      <c r="U102" s="1"/>
      <c r="V102" s="1"/>
      <c r="W102" s="1"/>
      <c r="X102" s="1"/>
      <c r="Y102" s="1"/>
      <c r="Z102" s="1"/>
    </row>
    <row r="103" spans="1:26" ht="12" customHeight="1">
      <c r="A103" s="263">
        <f>IF(G95=4," ",ROUND($D$9/($G$95-1),-0.01))</f>
        <v>0</v>
      </c>
      <c r="B103" s="220"/>
      <c r="C103" s="11" t="str">
        <f t="shared" ref="C103:C108" si="31">IF($D$10=0," ",IF(E103=" "," ",E103/$D$10))</f>
        <v xml:space="preserve"> </v>
      </c>
      <c r="D103" s="20">
        <v>5</v>
      </c>
      <c r="E103" s="72" t="str">
        <f t="shared" ref="E103:E104" si="32">IF($G$95&gt;4,IF($E$99=0," ",$E$99)," ")</f>
        <v xml:space="preserve"> </v>
      </c>
      <c r="F103" s="230"/>
      <c r="G103" s="216"/>
      <c r="H103" s="228" t="str">
        <f t="shared" si="24"/>
        <v xml:space="preserve"> </v>
      </c>
      <c r="I103" s="220"/>
      <c r="J103" s="71">
        <f t="shared" si="25"/>
        <v>0</v>
      </c>
      <c r="K103" s="26">
        <f t="shared" si="26"/>
        <v>0</v>
      </c>
      <c r="L103" s="27" t="str">
        <f t="shared" si="27"/>
        <v xml:space="preserve"> </v>
      </c>
      <c r="N103" s="73" t="str">
        <f>IF(AND(L99="Y",L100="Y",L101="Y",L102="Y",L103="Y",L104="Y",L105="Y",L106="Y",L107="Y",L108="Y"),"Y","N")</f>
        <v>N</v>
      </c>
      <c r="P103" s="307" t="str">
        <f t="shared" si="28"/>
        <v xml:space="preserve"> </v>
      </c>
      <c r="Q103" s="220"/>
      <c r="R103" s="1"/>
      <c r="S103" s="1"/>
      <c r="T103" s="1"/>
      <c r="U103" s="1"/>
      <c r="V103" s="1"/>
      <c r="W103" s="1"/>
      <c r="X103" s="1"/>
      <c r="Y103" s="1"/>
      <c r="Z103" s="1"/>
    </row>
    <row r="104" spans="1:26" ht="12" customHeight="1">
      <c r="A104" s="263">
        <f>IF(G95=4," ",ROUND($D$9/($G$95-1),-0.01))</f>
        <v>0</v>
      </c>
      <c r="B104" s="220"/>
      <c r="C104" s="11" t="str">
        <f t="shared" si="31"/>
        <v xml:space="preserve"> </v>
      </c>
      <c r="D104" s="20">
        <v>6</v>
      </c>
      <c r="E104" s="72" t="str">
        <f t="shared" si="32"/>
        <v xml:space="preserve"> </v>
      </c>
      <c r="F104" s="230"/>
      <c r="G104" s="216"/>
      <c r="H104" s="228" t="str">
        <f t="shared" si="24"/>
        <v xml:space="preserve"> </v>
      </c>
      <c r="I104" s="220"/>
      <c r="J104" s="71">
        <f t="shared" si="25"/>
        <v>0</v>
      </c>
      <c r="K104" s="26">
        <f t="shared" si="26"/>
        <v>0</v>
      </c>
      <c r="L104" s="27" t="str">
        <f t="shared" si="27"/>
        <v xml:space="preserve"> </v>
      </c>
      <c r="P104" s="307" t="str">
        <f t="shared" si="28"/>
        <v xml:space="preserve"> </v>
      </c>
      <c r="Q104" s="220"/>
      <c r="R104" s="1"/>
      <c r="S104" s="1"/>
      <c r="T104" s="1"/>
      <c r="U104" s="1"/>
      <c r="V104" s="1"/>
      <c r="W104" s="1"/>
      <c r="X104" s="1"/>
      <c r="Y104" s="1"/>
      <c r="Z104" s="1"/>
    </row>
    <row r="105" spans="1:26" ht="12" customHeight="1">
      <c r="A105" s="263" t="str">
        <f>IF(G95&lt;8," ",ROUND($D$9/($G$95-1),-0.01))</f>
        <v xml:space="preserve"> </v>
      </c>
      <c r="B105" s="220"/>
      <c r="C105" s="11" t="str">
        <f t="shared" si="31"/>
        <v xml:space="preserve"> </v>
      </c>
      <c r="D105" s="20">
        <v>7</v>
      </c>
      <c r="E105" s="72" t="str">
        <f t="shared" ref="E105:E108" si="33">IF($G$95&gt;6,IF($E$99=0," ",$E$99)," ")</f>
        <v xml:space="preserve"> </v>
      </c>
      <c r="F105" s="230"/>
      <c r="G105" s="216"/>
      <c r="H105" s="228" t="str">
        <f t="shared" si="24"/>
        <v xml:space="preserve"> </v>
      </c>
      <c r="I105" s="220"/>
      <c r="J105" s="71">
        <f t="shared" si="25"/>
        <v>0</v>
      </c>
      <c r="K105" s="26">
        <f t="shared" si="26"/>
        <v>0</v>
      </c>
      <c r="L105" s="27" t="str">
        <f t="shared" si="27"/>
        <v xml:space="preserve"> </v>
      </c>
      <c r="P105" s="307" t="str">
        <f t="shared" si="28"/>
        <v xml:space="preserve"> </v>
      </c>
      <c r="Q105" s="220"/>
      <c r="R105" s="1"/>
      <c r="S105" s="1"/>
      <c r="T105" s="1"/>
      <c r="U105" s="1"/>
      <c r="V105" s="1"/>
      <c r="W105" s="1"/>
      <c r="X105" s="1"/>
      <c r="Y105" s="1"/>
      <c r="Z105" s="1"/>
    </row>
    <row r="106" spans="1:26" ht="12" customHeight="1">
      <c r="A106" s="263" t="str">
        <f>IF(G95&lt;8," ",ROUND($D$9/($G$95-1),-0.01))</f>
        <v xml:space="preserve"> </v>
      </c>
      <c r="B106" s="220"/>
      <c r="C106" s="11" t="str">
        <f t="shared" si="31"/>
        <v xml:space="preserve"> </v>
      </c>
      <c r="D106" s="20">
        <v>8</v>
      </c>
      <c r="E106" s="72" t="str">
        <f t="shared" si="33"/>
        <v xml:space="preserve"> </v>
      </c>
      <c r="F106" s="230"/>
      <c r="G106" s="216"/>
      <c r="H106" s="228" t="str">
        <f t="shared" si="24"/>
        <v xml:space="preserve"> </v>
      </c>
      <c r="I106" s="220"/>
      <c r="J106" s="71">
        <f t="shared" si="25"/>
        <v>0</v>
      </c>
      <c r="K106" s="26">
        <f t="shared" si="26"/>
        <v>0</v>
      </c>
      <c r="L106" s="27" t="str">
        <f t="shared" si="27"/>
        <v xml:space="preserve"> </v>
      </c>
      <c r="P106" s="307" t="str">
        <f t="shared" si="28"/>
        <v xml:space="preserve"> </v>
      </c>
      <c r="Q106" s="220"/>
      <c r="R106" s="1"/>
      <c r="S106" s="1"/>
      <c r="T106" s="1"/>
      <c r="U106" s="1"/>
      <c r="V106" s="1"/>
      <c r="W106" s="1"/>
      <c r="X106" s="1"/>
      <c r="Y106" s="1"/>
      <c r="Z106" s="1"/>
    </row>
    <row r="107" spans="1:26" ht="12" customHeight="1">
      <c r="A107" s="263" t="str">
        <f>IF(G95&lt;10," ",ROUND($D$9/($G$95-1),-0.01))</f>
        <v xml:space="preserve"> </v>
      </c>
      <c r="B107" s="220"/>
      <c r="C107" s="11" t="str">
        <f t="shared" si="31"/>
        <v xml:space="preserve"> </v>
      </c>
      <c r="D107" s="20">
        <v>9</v>
      </c>
      <c r="E107" s="72" t="str">
        <f t="shared" si="33"/>
        <v xml:space="preserve"> </v>
      </c>
      <c r="F107" s="230"/>
      <c r="G107" s="216"/>
      <c r="H107" s="228" t="str">
        <f t="shared" si="24"/>
        <v xml:space="preserve"> </v>
      </c>
      <c r="I107" s="220"/>
      <c r="J107" s="71">
        <f t="shared" si="25"/>
        <v>0</v>
      </c>
      <c r="K107" s="26">
        <f t="shared" si="26"/>
        <v>0</v>
      </c>
      <c r="L107" s="27" t="str">
        <f t="shared" si="27"/>
        <v xml:space="preserve"> </v>
      </c>
      <c r="P107" s="307" t="str">
        <f t="shared" si="28"/>
        <v xml:space="preserve"> </v>
      </c>
      <c r="Q107" s="220"/>
      <c r="R107" s="1"/>
      <c r="S107" s="1"/>
      <c r="T107" s="1"/>
      <c r="U107" s="1"/>
      <c r="V107" s="1"/>
      <c r="W107" s="1"/>
      <c r="X107" s="1"/>
      <c r="Y107" s="1"/>
      <c r="Z107" s="1"/>
    </row>
    <row r="108" spans="1:26" ht="12" customHeight="1">
      <c r="A108" s="263" t="str">
        <f>IF(G95&lt;10," ",ROUND($D$9/($G$95-1),-0.01))</f>
        <v xml:space="preserve"> </v>
      </c>
      <c r="B108" s="220"/>
      <c r="C108" s="11" t="str">
        <f t="shared" si="31"/>
        <v xml:space="preserve"> </v>
      </c>
      <c r="D108" s="20">
        <v>10</v>
      </c>
      <c r="E108" s="72" t="str">
        <f t="shared" si="33"/>
        <v xml:space="preserve"> </v>
      </c>
      <c r="F108" s="230"/>
      <c r="G108" s="216"/>
      <c r="H108" s="228" t="str">
        <f t="shared" si="24"/>
        <v xml:space="preserve"> </v>
      </c>
      <c r="I108" s="220"/>
      <c r="J108" s="71">
        <f t="shared" si="25"/>
        <v>0</v>
      </c>
      <c r="K108" s="26">
        <f t="shared" si="26"/>
        <v>0</v>
      </c>
      <c r="L108" s="27" t="str">
        <f t="shared" si="27"/>
        <v xml:space="preserve"> </v>
      </c>
      <c r="P108" s="307" t="str">
        <f t="shared" si="28"/>
        <v xml:space="preserve"> </v>
      </c>
      <c r="Q108" s="220"/>
      <c r="R108" s="1"/>
      <c r="S108" s="1"/>
      <c r="T108" s="1"/>
      <c r="U108" s="1"/>
      <c r="V108" s="1"/>
      <c r="W108" s="1"/>
      <c r="X108" s="1"/>
      <c r="Y108" s="1"/>
      <c r="Z108" s="1"/>
    </row>
    <row r="109" spans="1:26" ht="12" customHeight="1">
      <c r="A109" s="1"/>
      <c r="B109" s="1"/>
      <c r="C109" s="1"/>
      <c r="D109" s="1"/>
      <c r="E109" s="1"/>
      <c r="F109" s="262"/>
      <c r="G109" s="237"/>
      <c r="H109" s="31"/>
      <c r="I109" s="1"/>
      <c r="J109" s="17"/>
      <c r="K109" s="6" t="str">
        <f>IF($D$13="English","Test passed?","Test bestanden?")</f>
        <v>Test passed?</v>
      </c>
      <c r="L109" s="27" t="str">
        <f>IF($G$95=4,$N$100,IF($G$95=6,$N$101,IF($G$95=8,$N$102,IF($G95=10,$N$103,"N"))))</f>
        <v>N</v>
      </c>
      <c r="R109" s="1"/>
      <c r="S109" s="1"/>
      <c r="T109" s="1"/>
      <c r="U109" s="1"/>
      <c r="V109" s="1"/>
      <c r="W109" s="1"/>
      <c r="X109" s="1"/>
      <c r="Y109" s="1"/>
      <c r="Z109" s="1"/>
    </row>
    <row r="110" spans="1:26" ht="12.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c r="A111" s="7" t="str">
        <f>IF($D$13="English","7.  Earth Gravity","7. Fallbeschleunigung")</f>
        <v>7.  Earth Gravity</v>
      </c>
      <c r="B111" s="46"/>
      <c r="C111" s="74"/>
      <c r="D111" s="74"/>
      <c r="E111" s="41"/>
      <c r="F111" s="41"/>
      <c r="G111" s="41"/>
      <c r="H111" s="75"/>
      <c r="I111" s="75"/>
      <c r="J111" s="41"/>
      <c r="K111" s="41"/>
      <c r="L111" s="73"/>
      <c r="M111" s="73"/>
      <c r="N111" s="42"/>
      <c r="O111" s="42"/>
      <c r="P111" s="28"/>
      <c r="Q111" s="1"/>
      <c r="R111" s="1"/>
      <c r="S111" s="1"/>
      <c r="T111" s="1"/>
      <c r="U111" s="1"/>
      <c r="V111" s="1"/>
      <c r="W111" s="1"/>
      <c r="X111" s="1"/>
      <c r="Y111" s="1"/>
      <c r="Z111" s="1"/>
    </row>
    <row r="112" spans="1:26" ht="12.75" customHeight="1">
      <c r="A112" s="7" t="str">
        <f>IF($D$13="English","Verification for: g=","Prüfung für: g=")</f>
        <v>Verification for: g=</v>
      </c>
      <c r="B112" s="46"/>
      <c r="C112" s="74"/>
      <c r="D112" s="260"/>
      <c r="E112" s="216"/>
      <c r="F112" s="41"/>
      <c r="G112" s="41"/>
      <c r="H112" s="176" t="s">
        <v>80</v>
      </c>
      <c r="I112" s="7" t="str">
        <f>IF($D$13="English","Not required","vernachlässigbar")</f>
        <v>Not required</v>
      </c>
      <c r="J112" s="41"/>
      <c r="K112" s="41"/>
      <c r="L112" s="73"/>
      <c r="M112" s="73"/>
      <c r="N112" s="1"/>
      <c r="O112" s="1"/>
      <c r="P112" s="1"/>
      <c r="Q112" s="1"/>
      <c r="R112" s="1"/>
      <c r="S112" s="1"/>
      <c r="T112" s="1"/>
      <c r="U112" s="1"/>
      <c r="V112" s="1"/>
      <c r="W112" s="1"/>
      <c r="X112" s="1"/>
      <c r="Y112" s="1"/>
      <c r="Z112" s="1"/>
    </row>
    <row r="113" spans="1:26" ht="12.75" customHeight="1">
      <c r="A113" s="45"/>
      <c r="B113" s="46"/>
      <c r="C113" s="74"/>
      <c r="D113" s="260"/>
      <c r="E113" s="216"/>
      <c r="F113" s="41"/>
      <c r="G113" s="41"/>
      <c r="H113" s="75"/>
      <c r="I113" s="75"/>
      <c r="J113" s="41"/>
      <c r="K113" s="41"/>
      <c r="L113" s="73"/>
      <c r="M113" s="73"/>
      <c r="N113" s="1"/>
      <c r="O113" s="1"/>
      <c r="P113" s="1"/>
      <c r="Q113" s="1"/>
      <c r="R113" s="1"/>
      <c r="S113" s="1"/>
      <c r="T113" s="1"/>
      <c r="U113" s="1"/>
      <c r="V113" s="1"/>
      <c r="W113" s="1"/>
      <c r="X113" s="1"/>
      <c r="Y113" s="1"/>
      <c r="Z113" s="1"/>
    </row>
    <row r="114" spans="1:26" ht="12.75" customHeight="1">
      <c r="A114" s="45"/>
      <c r="B114" s="46"/>
      <c r="C114" s="74"/>
      <c r="D114" s="74"/>
      <c r="E114" s="74"/>
      <c r="F114" s="41"/>
      <c r="G114" s="41"/>
      <c r="H114" s="75"/>
      <c r="I114" s="75"/>
      <c r="J114" s="41"/>
      <c r="K114" s="41"/>
      <c r="L114" s="73"/>
      <c r="M114" s="73"/>
      <c r="N114" s="1"/>
      <c r="O114" s="1"/>
      <c r="P114" s="1"/>
      <c r="Q114" s="1"/>
      <c r="R114" s="1"/>
      <c r="S114" s="1"/>
      <c r="T114" s="1"/>
      <c r="U114" s="1"/>
      <c r="V114" s="1"/>
      <c r="W114" s="1"/>
      <c r="X114" s="1"/>
      <c r="Y114" s="1"/>
      <c r="Z114" s="1"/>
    </row>
    <row r="115" spans="1:26" ht="12.75" customHeight="1">
      <c r="A115" s="76" t="str">
        <f>IF($D$13="English","place of installation:","Ort der Inbetriebnahme:")</f>
        <v>place of installation:</v>
      </c>
      <c r="B115" s="1"/>
      <c r="C115" s="1"/>
      <c r="D115" s="1"/>
      <c r="E115" s="253"/>
      <c r="F115" s="215"/>
      <c r="G115" s="215"/>
      <c r="H115" s="215"/>
      <c r="I115" s="215"/>
      <c r="J115" s="215"/>
      <c r="K115" s="215"/>
      <c r="L115" s="215"/>
      <c r="M115" s="215"/>
      <c r="N115" s="215"/>
      <c r="O115" s="215"/>
      <c r="P115" s="215"/>
      <c r="Q115" s="261"/>
      <c r="R115" s="1"/>
      <c r="S115" s="1"/>
      <c r="T115" s="1"/>
      <c r="U115" s="1"/>
      <c r="V115" s="1"/>
      <c r="W115" s="1"/>
      <c r="X115" s="1"/>
      <c r="Y115" s="1"/>
      <c r="Z115" s="1"/>
    </row>
    <row r="116" spans="1:26" ht="12.75" customHeight="1">
      <c r="A116" s="77"/>
      <c r="B116" s="1"/>
      <c r="C116" s="1"/>
      <c r="D116" s="1"/>
      <c r="E116" s="253"/>
      <c r="F116" s="215"/>
      <c r="G116" s="215"/>
      <c r="H116" s="215"/>
      <c r="I116" s="215"/>
      <c r="J116" s="215"/>
      <c r="K116" s="215"/>
      <c r="L116" s="215"/>
      <c r="M116" s="215"/>
      <c r="N116" s="215"/>
      <c r="O116" s="215"/>
      <c r="P116" s="215"/>
      <c r="Q116" s="261"/>
      <c r="R116" s="1"/>
      <c r="S116" s="1"/>
      <c r="T116" s="1"/>
      <c r="U116" s="1"/>
      <c r="V116" s="1"/>
      <c r="W116" s="1"/>
      <c r="X116" s="1"/>
      <c r="Y116" s="1"/>
      <c r="Z116" s="1"/>
    </row>
    <row r="117" spans="1:26" ht="12.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8" customHeight="1">
      <c r="A118" s="76" t="str">
        <f>IF($D$13="English","Calibration Counter C:","Kalibrierzähler C:")</f>
        <v>Calibration Counter C:</v>
      </c>
      <c r="B118" s="1"/>
      <c r="C118" s="1"/>
      <c r="D118" s="1"/>
      <c r="E118" s="253"/>
      <c r="F118" s="216"/>
      <c r="G118" s="17"/>
      <c r="H118" s="41"/>
      <c r="I118" s="41"/>
      <c r="J118" s="41"/>
      <c r="K118" s="41"/>
      <c r="L118" s="73"/>
      <c r="M118" s="73"/>
      <c r="N118" s="1"/>
      <c r="O118" s="1"/>
      <c r="P118" s="1"/>
      <c r="Q118" s="1"/>
      <c r="R118" s="1"/>
      <c r="S118" s="1"/>
      <c r="T118" s="1"/>
      <c r="U118" s="1"/>
      <c r="V118" s="1"/>
      <c r="W118" s="1"/>
      <c r="X118" s="1"/>
      <c r="Y118" s="1"/>
      <c r="Z118" s="1"/>
    </row>
    <row r="119" spans="1:26" ht="12.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c r="A120" s="78"/>
      <c r="B120" s="78" t="str">
        <f>IF($D$13="English","Note:  If the scale  fails any test, it should not be used!","Anmerkung: Falls ein Test nicht bestanden ist, ist die Waage nicht eichfähig!")</f>
        <v>Note:  If the scale  fails any test, it should not be used!</v>
      </c>
      <c r="C120" s="74"/>
      <c r="D120" s="41"/>
      <c r="E120" s="41"/>
      <c r="F120" s="41"/>
      <c r="G120" s="17"/>
      <c r="H120" s="41"/>
      <c r="I120" s="41"/>
      <c r="J120" s="41"/>
      <c r="K120" s="41"/>
      <c r="L120" s="73"/>
      <c r="M120" s="73"/>
      <c r="N120" s="1"/>
      <c r="O120" s="1"/>
      <c r="P120" s="1"/>
      <c r="Q120" s="1"/>
      <c r="R120" s="1"/>
      <c r="S120" s="1"/>
      <c r="T120" s="1"/>
      <c r="U120" s="1"/>
      <c r="V120" s="1"/>
      <c r="W120" s="1"/>
      <c r="X120" s="1"/>
      <c r="Y120" s="1"/>
      <c r="Z120" s="1"/>
    </row>
    <row r="121" spans="1:26" ht="12"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xrNFAy41iZPBcva9gXqZ/PxudzBfAA+t5ivSjzAxhxFwdRXq2WICV0ZbKKJk2y2+UCj5MPg/Q1ySTaiGI0M5qA==" saltValue="Wh6OV9Fth0LE34KHw/J80A==" spinCount="100000" sheet="1" objects="1" scenarios="1"/>
  <mergeCells count="242">
    <mergeCell ref="M52:N52"/>
    <mergeCell ref="M53:N53"/>
    <mergeCell ref="M54:N54"/>
    <mergeCell ref="P54:Q54"/>
    <mergeCell ref="B52:C52"/>
    <mergeCell ref="E52:F52"/>
    <mergeCell ref="G52:H52"/>
    <mergeCell ref="I52:J52"/>
    <mergeCell ref="P52:Q52"/>
    <mergeCell ref="I53:J53"/>
    <mergeCell ref="P53:Q53"/>
    <mergeCell ref="B53:C53"/>
    <mergeCell ref="B54:C54"/>
    <mergeCell ref="E54:F54"/>
    <mergeCell ref="G54:H54"/>
    <mergeCell ref="I54:J54"/>
    <mergeCell ref="E53:F53"/>
    <mergeCell ref="G53:H53"/>
    <mergeCell ref="E75:F75"/>
    <mergeCell ref="G75:H75"/>
    <mergeCell ref="K75:M75"/>
    <mergeCell ref="O75:P75"/>
    <mergeCell ref="A75:C75"/>
    <mergeCell ref="A76:C76"/>
    <mergeCell ref="G55:H55"/>
    <mergeCell ref="I55:J55"/>
    <mergeCell ref="M55:N55"/>
    <mergeCell ref="P55:Q55"/>
    <mergeCell ref="E55:F55"/>
    <mergeCell ref="E56:F56"/>
    <mergeCell ref="G56:H56"/>
    <mergeCell ref="I56:J56"/>
    <mergeCell ref="M56:N56"/>
    <mergeCell ref="P56:Q56"/>
    <mergeCell ref="E76:F76"/>
    <mergeCell ref="G76:H76"/>
    <mergeCell ref="K76:M76"/>
    <mergeCell ref="M57:N57"/>
    <mergeCell ref="M58:N58"/>
    <mergeCell ref="B57:C57"/>
    <mergeCell ref="E57:F57"/>
    <mergeCell ref="G57:H57"/>
    <mergeCell ref="A107:B107"/>
    <mergeCell ref="A108:B108"/>
    <mergeCell ref="F107:G107"/>
    <mergeCell ref="H107:I107"/>
    <mergeCell ref="F108:G108"/>
    <mergeCell ref="H108:I108"/>
    <mergeCell ref="B55:C55"/>
    <mergeCell ref="B56:C56"/>
    <mergeCell ref="E77:F77"/>
    <mergeCell ref="G77:H77"/>
    <mergeCell ref="F101:G101"/>
    <mergeCell ref="H101:I101"/>
    <mergeCell ref="G85:H85"/>
    <mergeCell ref="H97:I97"/>
    <mergeCell ref="H98:I98"/>
    <mergeCell ref="F99:G99"/>
    <mergeCell ref="H99:I99"/>
    <mergeCell ref="F100:G100"/>
    <mergeCell ref="H100:I100"/>
    <mergeCell ref="A100:B100"/>
    <mergeCell ref="A101:B101"/>
    <mergeCell ref="A63:P64"/>
    <mergeCell ref="A72:P73"/>
    <mergeCell ref="C74:D74"/>
    <mergeCell ref="A105:B105"/>
    <mergeCell ref="F105:G105"/>
    <mergeCell ref="H105:I105"/>
    <mergeCell ref="F106:G106"/>
    <mergeCell ref="H106:I106"/>
    <mergeCell ref="A104:B104"/>
    <mergeCell ref="A102:B102"/>
    <mergeCell ref="F102:G102"/>
    <mergeCell ref="H102:I102"/>
    <mergeCell ref="F103:G103"/>
    <mergeCell ref="H103:I103"/>
    <mergeCell ref="A106:B106"/>
    <mergeCell ref="A77:C77"/>
    <mergeCell ref="K77:M77"/>
    <mergeCell ref="A78:C78"/>
    <mergeCell ref="E78:F78"/>
    <mergeCell ref="G78:H78"/>
    <mergeCell ref="K78:M78"/>
    <mergeCell ref="E79:F79"/>
    <mergeCell ref="G79:H79"/>
    <mergeCell ref="K79:M79"/>
    <mergeCell ref="A79:C79"/>
    <mergeCell ref="A80:C80"/>
    <mergeCell ref="E80:F80"/>
    <mergeCell ref="G80:H80"/>
    <mergeCell ref="A81:C81"/>
    <mergeCell ref="G81:H81"/>
    <mergeCell ref="E81:F81"/>
    <mergeCell ref="G82:H82"/>
    <mergeCell ref="A82:C82"/>
    <mergeCell ref="A83:C83"/>
    <mergeCell ref="A85:C85"/>
    <mergeCell ref="A97:B97"/>
    <mergeCell ref="A98:B98"/>
    <mergeCell ref="A99:B99"/>
    <mergeCell ref="A103:B103"/>
    <mergeCell ref="E82:F82"/>
    <mergeCell ref="E83:F83"/>
    <mergeCell ref="G83:H83"/>
    <mergeCell ref="E84:F84"/>
    <mergeCell ref="G84:H84"/>
    <mergeCell ref="E85:F85"/>
    <mergeCell ref="P104:Q104"/>
    <mergeCell ref="P105:Q105"/>
    <mergeCell ref="P106:Q106"/>
    <mergeCell ref="P107:Q107"/>
    <mergeCell ref="P108:Q108"/>
    <mergeCell ref="E115:Q115"/>
    <mergeCell ref="E116:Q116"/>
    <mergeCell ref="E118:F118"/>
    <mergeCell ref="P97:Q97"/>
    <mergeCell ref="P98:Q98"/>
    <mergeCell ref="P99:Q99"/>
    <mergeCell ref="P100:Q100"/>
    <mergeCell ref="P101:Q101"/>
    <mergeCell ref="P102:Q102"/>
    <mergeCell ref="P103:Q103"/>
    <mergeCell ref="F109:G109"/>
    <mergeCell ref="D112:E112"/>
    <mergeCell ref="D113:E113"/>
    <mergeCell ref="F104:G104"/>
    <mergeCell ref="H104:I104"/>
    <mergeCell ref="N28:O28"/>
    <mergeCell ref="E29:F29"/>
    <mergeCell ref="N29:O29"/>
    <mergeCell ref="N30:O30"/>
    <mergeCell ref="N31:O31"/>
    <mergeCell ref="B29:C29"/>
    <mergeCell ref="B30:C30"/>
    <mergeCell ref="E30:F30"/>
    <mergeCell ref="L5:Q5"/>
    <mergeCell ref="D6:H6"/>
    <mergeCell ref="L6:Q6"/>
    <mergeCell ref="D9:E9"/>
    <mergeCell ref="D10:E10"/>
    <mergeCell ref="K20:Q20"/>
    <mergeCell ref="K21:L21"/>
    <mergeCell ref="N22:P22"/>
    <mergeCell ref="L7:Q7"/>
    <mergeCell ref="L9:Q9"/>
    <mergeCell ref="L10:Q10"/>
    <mergeCell ref="L12:Q13"/>
    <mergeCell ref="L14:Q15"/>
    <mergeCell ref="J16:K16"/>
    <mergeCell ref="P16:Q16"/>
    <mergeCell ref="I27:J27"/>
    <mergeCell ref="K27:L27"/>
    <mergeCell ref="N27:O27"/>
    <mergeCell ref="E16:H16"/>
    <mergeCell ref="D20:G20"/>
    <mergeCell ref="D21:E21"/>
    <mergeCell ref="F22:G22"/>
    <mergeCell ref="A27:C27"/>
    <mergeCell ref="D27:F27"/>
    <mergeCell ref="G27:H27"/>
    <mergeCell ref="B28:C28"/>
    <mergeCell ref="E28:F28"/>
    <mergeCell ref="G28:H28"/>
    <mergeCell ref="G32:H32"/>
    <mergeCell ref="A36:D36"/>
    <mergeCell ref="E36:G36"/>
    <mergeCell ref="H36:I36"/>
    <mergeCell ref="E37:G37"/>
    <mergeCell ref="I50:J50"/>
    <mergeCell ref="G29:H29"/>
    <mergeCell ref="I29:J29"/>
    <mergeCell ref="E31:F31"/>
    <mergeCell ref="G31:H31"/>
    <mergeCell ref="A37:D37"/>
    <mergeCell ref="A38:D38"/>
    <mergeCell ref="E38:G38"/>
    <mergeCell ref="A43:D43"/>
    <mergeCell ref="E43:G43"/>
    <mergeCell ref="H43:I43"/>
    <mergeCell ref="I32:J32"/>
    <mergeCell ref="J33:L33"/>
    <mergeCell ref="I28:J28"/>
    <mergeCell ref="G30:H30"/>
    <mergeCell ref="I30:J30"/>
    <mergeCell ref="I31:J31"/>
    <mergeCell ref="K50:L50"/>
    <mergeCell ref="M50:N50"/>
    <mergeCell ref="P50:Q50"/>
    <mergeCell ref="B51:C51"/>
    <mergeCell ref="E51:F51"/>
    <mergeCell ref="G51:H51"/>
    <mergeCell ref="I51:J51"/>
    <mergeCell ref="M51:N51"/>
    <mergeCell ref="P51:Q51"/>
    <mergeCell ref="E44:G44"/>
    <mergeCell ref="A44:D44"/>
    <mergeCell ref="A45:D45"/>
    <mergeCell ref="E45:G45"/>
    <mergeCell ref="A48:H49"/>
    <mergeCell ref="A50:C50"/>
    <mergeCell ref="D50:F50"/>
    <mergeCell ref="G50:H50"/>
    <mergeCell ref="J94:O95"/>
    <mergeCell ref="O76:P76"/>
    <mergeCell ref="O77:P77"/>
    <mergeCell ref="O78:P78"/>
    <mergeCell ref="O79:P79"/>
    <mergeCell ref="O80:P80"/>
    <mergeCell ref="O81:P81"/>
    <mergeCell ref="O82:P82"/>
    <mergeCell ref="K80:M80"/>
    <mergeCell ref="K81:M81"/>
    <mergeCell ref="K82:M82"/>
    <mergeCell ref="K83:M83"/>
    <mergeCell ref="K84:M84"/>
    <mergeCell ref="K85:M85"/>
    <mergeCell ref="O85:P85"/>
    <mergeCell ref="L8:Q8"/>
    <mergeCell ref="B60:C60"/>
    <mergeCell ref="E60:F60"/>
    <mergeCell ref="G60:H60"/>
    <mergeCell ref="I60:J60"/>
    <mergeCell ref="M60:N60"/>
    <mergeCell ref="P60:Q60"/>
    <mergeCell ref="O83:P83"/>
    <mergeCell ref="O84:P84"/>
    <mergeCell ref="A84:C84"/>
    <mergeCell ref="I57:J57"/>
    <mergeCell ref="P57:Q57"/>
    <mergeCell ref="B58:C58"/>
    <mergeCell ref="I58:J58"/>
    <mergeCell ref="P58:Q58"/>
    <mergeCell ref="E58:F58"/>
    <mergeCell ref="G58:H58"/>
    <mergeCell ref="E59:F59"/>
    <mergeCell ref="G59:H59"/>
    <mergeCell ref="I59:J59"/>
    <mergeCell ref="M59:N59"/>
    <mergeCell ref="P59:Q59"/>
    <mergeCell ref="B59:C59"/>
    <mergeCell ref="B31:C31"/>
  </mergeCells>
  <dataValidations count="5">
    <dataValidation type="list" allowBlank="1" showInputMessage="1" showErrorMessage="1" prompt="X or nothing" sqref="H112" xr:uid="{00000000-0002-0000-0400-000000000000}">
      <formula1>"X"</formula1>
    </dataValidation>
    <dataValidation type="list" allowBlank="1" showErrorMessage="1" sqref="D13:D15" xr:uid="{00000000-0002-0000-0400-000001000000}">
      <formula1>"English,Deutsch"</formula1>
    </dataValidation>
    <dataValidation type="list" allowBlank="1" showInputMessage="1" showErrorMessage="1" prompt="Y or N" sqref="N11 Q95" xr:uid="{00000000-0002-0000-0400-000002000000}">
      <formula1>"Y,N"</formula1>
    </dataValidation>
    <dataValidation type="list" allowBlank="1" showInputMessage="1" showErrorMessage="1" prompt="location - M for verification at manufacturer site_x000a_I for verification at installation site" sqref="J18" xr:uid="{00000000-0002-0000-0400-000003000000}">
      <formula1>$R$17:$R$18</formula1>
    </dataValidation>
    <dataValidation type="list" allowBlank="1" showInputMessage="1" showErrorMessage="1" prompt="&lt;=4 , 6 , 8  or 10" sqref="G95" xr:uid="{00000000-0002-0000-0400-000004000000}">
      <formula1>"4,6,8,10"</formula1>
    </dataValidation>
  </dataValidations>
  <pageMargins left="0.70866141732283472" right="0.70866141732283472" top="0.78740157480314965" bottom="0.78740157480314965" header="0" footer="0"/>
  <pageSetup paperSize="9" scale="87" orientation="portrait" r:id="rId1"/>
  <headerFooter>
    <oddFooter>&amp;L&amp;F&amp;CPage &amp;P / &amp;R&amp;D</oddFooter>
  </headerFooter>
  <rowBreaks count="1" manualBreakCount="1">
    <brk id="69" max="16"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B1000"/>
  <sheetViews>
    <sheetView view="pageBreakPreview" zoomScale="110" zoomScaleNormal="100" zoomScaleSheetLayoutView="110" workbookViewId="0">
      <selection activeCell="P18" sqref="P18"/>
    </sheetView>
  </sheetViews>
  <sheetFormatPr defaultColWidth="12.5703125" defaultRowHeight="15" customHeight="1"/>
  <cols>
    <col min="1" max="1" width="5.28515625" customWidth="1"/>
    <col min="2" max="2" width="6.28515625" customWidth="1"/>
    <col min="3" max="4" width="5.85546875" customWidth="1"/>
    <col min="5" max="5" width="8.85546875" customWidth="1"/>
    <col min="6" max="6" width="5.7109375" customWidth="1"/>
    <col min="7" max="7" width="6.28515625" customWidth="1"/>
    <col min="8" max="8" width="6.5703125" customWidth="1"/>
    <col min="9" max="9" width="5.140625" customWidth="1"/>
    <col min="10" max="10" width="7.140625" customWidth="1"/>
    <col min="11" max="11" width="5.85546875" customWidth="1"/>
    <col min="12" max="12" width="4.42578125" customWidth="1"/>
    <col min="13" max="14" width="3.85546875" customWidth="1"/>
    <col min="15" max="15" width="2.85546875" customWidth="1"/>
    <col min="16" max="16" width="5.85546875" customWidth="1"/>
    <col min="17" max="17" width="3.7109375" customWidth="1"/>
    <col min="18" max="28" width="9.140625" customWidth="1"/>
  </cols>
  <sheetData>
    <row r="1" spans="1:28" s="194" customFormat="1" ht="18.75" customHeight="1">
      <c r="A1" s="206"/>
      <c r="B1" s="206"/>
      <c r="C1" s="206"/>
      <c r="D1" s="206"/>
      <c r="E1" s="206"/>
      <c r="F1" s="206"/>
      <c r="G1" s="192"/>
      <c r="H1" s="192"/>
      <c r="I1" s="192"/>
      <c r="J1" s="192"/>
      <c r="K1" s="192"/>
      <c r="L1" s="192"/>
      <c r="M1" s="192"/>
      <c r="N1" s="192"/>
      <c r="O1" s="192"/>
      <c r="P1" s="192"/>
      <c r="Q1" s="193" t="str">
        <f>IF($D$13="English","Test Report - Single Range &gt; 1 t","Test Report - Einbereich &gt; 1 t")</f>
        <v>Test Report - Single Range &gt; 1 t</v>
      </c>
      <c r="R1" s="192"/>
      <c r="S1" s="192"/>
      <c r="T1" s="192"/>
      <c r="U1" s="192"/>
      <c r="V1" s="192"/>
      <c r="W1" s="192"/>
      <c r="X1" s="192"/>
      <c r="Y1" s="192"/>
      <c r="Z1" s="192"/>
      <c r="AA1" s="192"/>
      <c r="AB1" s="192"/>
    </row>
    <row r="2" spans="1:28" s="194" customFormat="1" ht="18.75" customHeight="1">
      <c r="A2" s="206"/>
      <c r="B2" s="206"/>
      <c r="C2" s="206"/>
      <c r="D2" s="206"/>
      <c r="E2" s="206"/>
      <c r="F2" s="206"/>
      <c r="G2" s="192"/>
      <c r="H2" s="192"/>
      <c r="I2" s="192"/>
      <c r="J2" s="192"/>
      <c r="K2" s="192"/>
      <c r="L2" s="192"/>
      <c r="M2" s="192"/>
      <c r="N2" s="192"/>
      <c r="O2" s="192"/>
      <c r="P2" s="192"/>
      <c r="Q2" s="193" t="str">
        <f>IF($D$13="English","with gravity compensation","mit Kompensation von g")</f>
        <v>with gravity compensation</v>
      </c>
      <c r="R2" s="192"/>
      <c r="S2" s="192"/>
      <c r="T2" s="192"/>
      <c r="U2" s="192"/>
      <c r="V2" s="192"/>
      <c r="W2" s="192"/>
      <c r="X2" s="192"/>
      <c r="Y2" s="192"/>
      <c r="Z2" s="192"/>
      <c r="AA2" s="192"/>
      <c r="AB2" s="192"/>
    </row>
    <row r="3" spans="1:28" ht="12" customHeight="1">
      <c r="A3" s="207"/>
      <c r="B3" s="207"/>
      <c r="C3" s="207"/>
      <c r="D3" s="207"/>
      <c r="E3" s="207"/>
      <c r="F3" s="207"/>
      <c r="G3" s="1"/>
      <c r="H3" s="1"/>
      <c r="I3" s="1"/>
      <c r="J3" s="1" t="str">
        <f>IF($D$13="English","Accuracy Class","Genauigkeitsklasse")</f>
        <v>Accuracy Class</v>
      </c>
      <c r="K3" s="1"/>
      <c r="L3" s="1"/>
      <c r="M3" s="1" t="s">
        <v>4</v>
      </c>
      <c r="N3" s="1"/>
      <c r="O3" s="4"/>
      <c r="P3" s="5"/>
      <c r="Q3" s="4"/>
      <c r="R3" s="1"/>
      <c r="S3" s="1"/>
      <c r="T3" s="1"/>
      <c r="U3" s="1"/>
      <c r="V3" s="1"/>
      <c r="W3" s="1"/>
      <c r="X3" s="1"/>
      <c r="Y3" s="1"/>
      <c r="Z3" s="1"/>
      <c r="AA3" s="1"/>
      <c r="AB3" s="1"/>
    </row>
    <row r="4" spans="1:28" ht="12" customHeight="1">
      <c r="A4" s="209"/>
      <c r="B4" s="209"/>
      <c r="C4" s="209"/>
      <c r="D4" s="208"/>
      <c r="E4" s="208"/>
      <c r="F4" s="208"/>
      <c r="G4" s="1"/>
      <c r="H4" s="1"/>
      <c r="I4" s="1"/>
      <c r="J4" s="1"/>
      <c r="K4" s="1"/>
      <c r="L4" s="1"/>
      <c r="M4" s="1"/>
      <c r="N4" s="1"/>
      <c r="O4" s="1"/>
      <c r="P4" s="6"/>
      <c r="Q4" s="1"/>
      <c r="R4" s="1"/>
      <c r="S4" s="1"/>
      <c r="T4" s="1"/>
      <c r="U4" s="1"/>
      <c r="V4" s="1"/>
      <c r="W4" s="1"/>
      <c r="X4" s="1"/>
      <c r="Y4" s="1"/>
      <c r="Z4" s="1"/>
      <c r="AA4" s="1"/>
      <c r="AB4" s="1"/>
    </row>
    <row r="5" spans="1:28" ht="12" customHeight="1">
      <c r="A5" s="5"/>
      <c r="B5" s="1"/>
      <c r="C5" s="1"/>
      <c r="D5" s="1"/>
      <c r="E5" s="1"/>
      <c r="F5" s="1"/>
      <c r="G5" s="1"/>
      <c r="H5" s="1"/>
      <c r="I5" s="1"/>
      <c r="J5" s="1"/>
      <c r="K5" s="9" t="str">
        <f>IF($D$13="English","Test Date:","Testdatum")</f>
        <v>Test Date:</v>
      </c>
      <c r="L5" s="243"/>
      <c r="M5" s="215"/>
      <c r="N5" s="215"/>
      <c r="O5" s="215"/>
      <c r="P5" s="215"/>
      <c r="Q5" s="216"/>
      <c r="R5" s="1"/>
      <c r="S5" s="1"/>
      <c r="T5" s="1"/>
      <c r="U5" s="1"/>
      <c r="V5" s="1"/>
      <c r="W5" s="1"/>
      <c r="X5" s="1"/>
      <c r="Y5" s="1"/>
      <c r="Z5" s="1"/>
      <c r="AA5" s="1"/>
      <c r="AB5" s="1"/>
    </row>
    <row r="6" spans="1:28" ht="12" customHeight="1">
      <c r="A6" s="1"/>
      <c r="B6" s="1"/>
      <c r="C6" s="9" t="str">
        <f>IF($D$13="English","Part No.:","Modell Nr.")</f>
        <v>Part No.:</v>
      </c>
      <c r="D6" s="275"/>
      <c r="E6" s="215"/>
      <c r="F6" s="215"/>
      <c r="G6" s="215"/>
      <c r="H6" s="216"/>
      <c r="I6" s="1"/>
      <c r="J6" s="1"/>
      <c r="K6" s="9" t="str">
        <f>IF($D$13="English","Test Officer:","RVO")</f>
        <v>Test Officer:</v>
      </c>
      <c r="L6" s="214"/>
      <c r="M6" s="215"/>
      <c r="N6" s="215"/>
      <c r="O6" s="215"/>
      <c r="P6" s="215"/>
      <c r="Q6" s="216"/>
      <c r="R6" s="1"/>
      <c r="S6" s="1"/>
      <c r="T6" s="1"/>
      <c r="U6" s="1"/>
      <c r="V6" s="1"/>
      <c r="W6" s="1"/>
      <c r="X6" s="1"/>
      <c r="Y6" s="1"/>
      <c r="Z6" s="1"/>
      <c r="AA6" s="1"/>
      <c r="AB6" s="1"/>
    </row>
    <row r="7" spans="1:28" ht="12" customHeight="1">
      <c r="A7" s="1"/>
      <c r="B7" s="1"/>
      <c r="G7" s="1"/>
      <c r="H7" s="1"/>
      <c r="I7" s="1"/>
      <c r="J7" s="1"/>
      <c r="K7" s="9" t="str">
        <f>IF($D$13="English","Scale No.","Waagen S/N.")</f>
        <v>Scale No.</v>
      </c>
      <c r="L7" s="214"/>
      <c r="M7" s="215"/>
      <c r="N7" s="215"/>
      <c r="O7" s="215"/>
      <c r="P7" s="215"/>
      <c r="Q7" s="216"/>
      <c r="R7" s="1"/>
      <c r="S7" s="1"/>
      <c r="T7" s="1"/>
      <c r="U7" s="1"/>
      <c r="V7" s="1"/>
      <c r="W7" s="1"/>
      <c r="X7" s="1"/>
      <c r="Y7" s="1"/>
      <c r="Z7" s="1"/>
      <c r="AA7" s="1"/>
      <c r="AB7" s="1"/>
    </row>
    <row r="8" spans="1:28" ht="12" customHeight="1">
      <c r="A8" s="1"/>
      <c r="B8" s="1"/>
      <c r="G8" s="1"/>
      <c r="H8" s="1"/>
      <c r="I8" s="1"/>
      <c r="J8" s="1"/>
      <c r="K8" s="9" t="str">
        <f>IF($D$13="English","Indicator S/N.","Waagen S/N.")</f>
        <v>Indicator S/N.</v>
      </c>
      <c r="L8" s="214"/>
      <c r="M8" s="215"/>
      <c r="N8" s="215"/>
      <c r="O8" s="215"/>
      <c r="P8" s="215"/>
      <c r="Q8" s="216"/>
      <c r="R8" s="1"/>
      <c r="S8" s="1"/>
      <c r="T8" s="1"/>
      <c r="U8" s="1"/>
      <c r="V8" s="1"/>
      <c r="W8" s="1"/>
      <c r="X8" s="1"/>
      <c r="Y8" s="1"/>
      <c r="Z8" s="1"/>
      <c r="AA8" s="1"/>
      <c r="AB8" s="1"/>
    </row>
    <row r="9" spans="1:28" ht="12" customHeight="1">
      <c r="A9" s="1"/>
      <c r="B9" s="1"/>
      <c r="C9" s="6" t="s">
        <v>98</v>
      </c>
      <c r="D9" s="325"/>
      <c r="E9" s="216"/>
      <c r="F9" s="1" t="s">
        <v>11</v>
      </c>
      <c r="G9" s="1"/>
      <c r="H9" s="1"/>
      <c r="I9" s="1"/>
      <c r="J9" s="1"/>
      <c r="K9" s="9" t="str">
        <f>IF($D$13="English","TAC(Type Approval Certificate) Indicator","Bauartzulassung Wägeelektronik")</f>
        <v>TAC(Type Approval Certificate) Indicator</v>
      </c>
      <c r="L9" s="214"/>
      <c r="M9" s="215"/>
      <c r="N9" s="215"/>
      <c r="O9" s="215"/>
      <c r="P9" s="215"/>
      <c r="Q9" s="216"/>
      <c r="R9" s="1"/>
      <c r="S9" s="1"/>
      <c r="T9" s="1"/>
      <c r="U9" s="1"/>
      <c r="V9" s="1"/>
      <c r="W9" s="1"/>
      <c r="X9" s="1"/>
      <c r="Y9" s="1"/>
      <c r="Z9" s="1"/>
      <c r="AA9" s="1"/>
      <c r="AB9" s="1"/>
    </row>
    <row r="10" spans="1:28" ht="12" customHeight="1">
      <c r="A10" s="1"/>
      <c r="B10" s="1"/>
      <c r="C10" s="6" t="s">
        <v>99</v>
      </c>
      <c r="D10" s="326"/>
      <c r="E10" s="216"/>
      <c r="F10" s="1" t="s">
        <v>11</v>
      </c>
      <c r="G10" s="1"/>
      <c r="H10" s="1"/>
      <c r="I10" s="1"/>
      <c r="J10" s="1"/>
      <c r="K10" s="9" t="str">
        <f>IF($D$13="English","Firmware type and version:","Wägeelektronik Programm und Version")</f>
        <v>Firmware type and version:</v>
      </c>
      <c r="L10" s="214"/>
      <c r="M10" s="215"/>
      <c r="N10" s="215"/>
      <c r="O10" s="215"/>
      <c r="P10" s="215"/>
      <c r="Q10" s="216"/>
      <c r="R10" s="1"/>
      <c r="S10" s="1"/>
      <c r="T10" s="1"/>
      <c r="U10" s="1"/>
      <c r="V10" s="1"/>
      <c r="W10" s="1"/>
      <c r="X10" s="1"/>
      <c r="Y10" s="1"/>
      <c r="Z10" s="1"/>
      <c r="AA10" s="1"/>
      <c r="AB10" s="1"/>
    </row>
    <row r="11" spans="1:28" ht="12" customHeight="1">
      <c r="A11" s="1"/>
      <c r="B11" s="1"/>
      <c r="C11" s="6"/>
      <c r="D11" s="1"/>
      <c r="E11" s="1"/>
      <c r="F11" s="1"/>
      <c r="G11" s="1"/>
      <c r="H11" s="1"/>
      <c r="I11" s="1"/>
      <c r="J11" s="6"/>
      <c r="K11" s="6"/>
      <c r="L11" s="1"/>
      <c r="M11" s="120" t="str">
        <f>IF($D$13="English","Test Weight Calibrations Current?","Standardgewichte kalibriert?")</f>
        <v>Test Weight Calibrations Current?</v>
      </c>
      <c r="N11" s="181"/>
      <c r="O11" s="1"/>
      <c r="P11" s="1"/>
      <c r="Q11" s="1"/>
      <c r="R11" s="1"/>
      <c r="S11" s="1"/>
      <c r="T11" s="1"/>
      <c r="U11" s="1"/>
      <c r="V11" s="1"/>
      <c r="W11" s="1"/>
      <c r="X11" s="1"/>
      <c r="Y11" s="1"/>
      <c r="Z11" s="1"/>
      <c r="AA11" s="1"/>
      <c r="AB11" s="1"/>
    </row>
    <row r="12" spans="1:28" ht="12" customHeight="1">
      <c r="A12" s="1"/>
      <c r="B12" s="1"/>
      <c r="C12" s="1"/>
      <c r="D12" s="1"/>
      <c r="E12" s="1"/>
      <c r="F12" s="1"/>
      <c r="G12" s="1"/>
      <c r="H12" s="1"/>
      <c r="K12" s="9" t="str">
        <f>IF($D$13="English","Set-No. of Standard-Weights in use","Set-Nr. der Standardgewichte")</f>
        <v>Set-No. of Standard-Weights in use</v>
      </c>
      <c r="L12" s="247"/>
      <c r="M12" s="248"/>
      <c r="N12" s="248"/>
      <c r="O12" s="248"/>
      <c r="P12" s="248"/>
      <c r="Q12" s="249"/>
      <c r="R12" s="1"/>
      <c r="S12" s="1"/>
      <c r="T12" s="1"/>
      <c r="U12" s="1"/>
      <c r="V12" s="1"/>
      <c r="W12" s="1"/>
      <c r="X12" s="1"/>
      <c r="Y12" s="1"/>
      <c r="Z12" s="1"/>
      <c r="AA12" s="1"/>
      <c r="AB12" s="1"/>
    </row>
    <row r="13" spans="1:28" ht="12" customHeight="1">
      <c r="A13" s="14" t="s">
        <v>19</v>
      </c>
      <c r="B13" s="1"/>
      <c r="C13" s="1"/>
      <c r="D13" s="174" t="s">
        <v>0</v>
      </c>
      <c r="E13" s="1"/>
      <c r="F13" s="1"/>
      <c r="G13" s="1"/>
      <c r="H13" s="1"/>
      <c r="L13" s="250"/>
      <c r="M13" s="251"/>
      <c r="N13" s="251"/>
      <c r="O13" s="251"/>
      <c r="P13" s="251"/>
      <c r="Q13" s="252"/>
      <c r="R13" s="1"/>
      <c r="S13" s="1"/>
      <c r="T13" s="1"/>
      <c r="U13" s="1"/>
      <c r="V13" s="1"/>
      <c r="W13" s="1"/>
      <c r="X13" s="1"/>
      <c r="Y13" s="1"/>
      <c r="Z13" s="1"/>
      <c r="AA13" s="1"/>
      <c r="AB13" s="1"/>
    </row>
    <row r="14" spans="1:28" ht="12" customHeight="1">
      <c r="A14" s="14"/>
      <c r="B14" s="1"/>
      <c r="C14" s="1"/>
      <c r="D14" s="16"/>
      <c r="E14" s="1"/>
      <c r="F14" s="1"/>
      <c r="G14" s="1"/>
      <c r="H14" s="1"/>
      <c r="K14" s="9" t="str">
        <f>IF($D$13="English","Set-No. Small Weights in use","Set-Nr. der kleinen Gewichte")</f>
        <v>Set-No. Small Weights in use</v>
      </c>
      <c r="L14" s="247"/>
      <c r="M14" s="248"/>
      <c r="N14" s="248"/>
      <c r="O14" s="248"/>
      <c r="P14" s="248"/>
      <c r="Q14" s="249"/>
      <c r="R14" s="1"/>
      <c r="S14" s="1"/>
      <c r="T14" s="1"/>
      <c r="U14" s="1"/>
      <c r="V14" s="1"/>
      <c r="W14" s="1"/>
      <c r="X14" s="1"/>
      <c r="Y14" s="1"/>
      <c r="Z14" s="1"/>
      <c r="AA14" s="1"/>
      <c r="AB14" s="1"/>
    </row>
    <row r="15" spans="1:28" ht="12" customHeight="1">
      <c r="A15" s="14"/>
      <c r="B15" s="1"/>
      <c r="C15" s="1"/>
      <c r="D15" s="16"/>
      <c r="E15" s="1"/>
      <c r="F15" s="1"/>
      <c r="G15" s="1"/>
      <c r="H15" s="1"/>
      <c r="K15" s="1"/>
      <c r="L15" s="250"/>
      <c r="M15" s="251"/>
      <c r="N15" s="251"/>
      <c r="O15" s="251"/>
      <c r="P15" s="251"/>
      <c r="Q15" s="252"/>
      <c r="R15" s="1"/>
      <c r="S15" s="1"/>
      <c r="T15" s="1"/>
      <c r="U15" s="1"/>
      <c r="V15" s="1"/>
      <c r="W15" s="1"/>
      <c r="X15" s="1"/>
      <c r="Y15" s="1"/>
      <c r="Z15" s="1"/>
      <c r="AA15" s="1"/>
      <c r="AB15" s="1"/>
    </row>
    <row r="16" spans="1:28" ht="17.25" customHeight="1">
      <c r="A16" s="7" t="str">
        <f>IF($D$13="English","Load Cell","Wägezelle")</f>
        <v>Load Cell</v>
      </c>
      <c r="B16" s="1"/>
      <c r="C16" s="1" t="str">
        <f>IF($D$13="English","Manufacturer","Hersteller")</f>
        <v>Manufacturer</v>
      </c>
      <c r="D16" s="6"/>
      <c r="E16" s="240"/>
      <c r="F16" s="215"/>
      <c r="G16" s="215"/>
      <c r="H16" s="216"/>
      <c r="I16" s="1" t="s">
        <v>22</v>
      </c>
      <c r="J16" s="253"/>
      <c r="K16" s="216"/>
      <c r="L16" s="1" t="str">
        <f>IF($D$13="English","Total number:","Gesamtanzahl:")</f>
        <v>Total number:</v>
      </c>
      <c r="M16" s="6"/>
      <c r="N16" s="6"/>
      <c r="O16" s="1"/>
      <c r="P16" s="301"/>
      <c r="Q16" s="302"/>
      <c r="R16" s="1"/>
      <c r="S16" s="1"/>
      <c r="T16" s="1"/>
      <c r="U16" s="1"/>
      <c r="V16" s="1"/>
      <c r="W16" s="1"/>
      <c r="X16" s="1"/>
      <c r="Y16" s="1"/>
      <c r="Z16" s="1"/>
      <c r="AA16" s="1"/>
      <c r="AB16" s="1"/>
    </row>
    <row r="17" spans="1:28" ht="12" customHeight="1">
      <c r="A17" s="1"/>
      <c r="B17" s="1"/>
      <c r="C17" s="1"/>
      <c r="D17" s="1"/>
      <c r="E17" s="1"/>
      <c r="F17" s="1"/>
      <c r="G17" s="6"/>
      <c r="J17" s="17"/>
      <c r="K17" s="1"/>
      <c r="L17" s="1"/>
      <c r="M17" s="1"/>
      <c r="N17" s="1"/>
      <c r="O17" s="1"/>
      <c r="P17" s="1"/>
      <c r="Q17" s="1"/>
      <c r="R17" s="1" t="s">
        <v>104</v>
      </c>
      <c r="S17" s="1"/>
      <c r="T17" s="1"/>
      <c r="U17" s="1"/>
      <c r="V17" s="1"/>
      <c r="W17" s="1"/>
      <c r="X17" s="1"/>
      <c r="Y17" s="1"/>
      <c r="Z17" s="1"/>
      <c r="AA17" s="1"/>
      <c r="AB17" s="1"/>
    </row>
    <row r="18" spans="1:28" ht="12" customHeight="1">
      <c r="A18" s="1" t="str">
        <f>IF($D$13="English","location of Verification: M= Manufacturer site - I=Installation site","Ort der Eichung: M=beim Hersteller - I=am Aufstellungsort")</f>
        <v>location of Verification: M= Manufacturer site - I=Installation site</v>
      </c>
      <c r="B18" s="1"/>
      <c r="C18" s="1"/>
      <c r="D18" s="1"/>
      <c r="E18" s="1"/>
      <c r="F18" s="1"/>
      <c r="G18" s="6"/>
      <c r="J18" s="183" t="s">
        <v>27</v>
      </c>
      <c r="K18" s="1"/>
      <c r="L18" s="1"/>
      <c r="M18" s="1"/>
      <c r="N18" s="1"/>
      <c r="O18" s="1"/>
      <c r="P18" s="1"/>
      <c r="Q18" s="1"/>
      <c r="R18" s="1" t="s">
        <v>27</v>
      </c>
      <c r="S18" s="1"/>
      <c r="T18" s="1"/>
      <c r="U18" s="1"/>
      <c r="V18" s="1"/>
      <c r="W18" s="1"/>
      <c r="X18" s="1"/>
      <c r="Y18" s="1"/>
      <c r="Z18" s="1"/>
      <c r="AA18" s="1"/>
      <c r="AB18" s="1"/>
    </row>
    <row r="19" spans="1:28" ht="12" customHeight="1">
      <c r="A19" s="1" t="str">
        <f>IF($D$13="English","link to calculate g:",IF($D$13="Deutsch","Link zum Ermitteln von g:"," "))</f>
        <v>link to calculate g:</v>
      </c>
      <c r="B19" s="1"/>
      <c r="C19" s="1"/>
      <c r="D19" s="1"/>
      <c r="E19" s="1" t="s">
        <v>105</v>
      </c>
      <c r="F19" s="1"/>
      <c r="G19" s="6"/>
      <c r="L19" s="1"/>
      <c r="M19" s="1"/>
      <c r="N19" s="1"/>
      <c r="O19" s="1"/>
      <c r="P19" s="1"/>
      <c r="Q19" s="1"/>
      <c r="R19" s="1"/>
      <c r="S19" s="1"/>
      <c r="T19" s="1"/>
      <c r="U19" s="1"/>
      <c r="V19" s="1"/>
      <c r="W19" s="1"/>
      <c r="X19" s="1"/>
      <c r="Y19" s="1"/>
      <c r="Z19" s="1"/>
      <c r="AA19" s="1"/>
      <c r="AB19" s="1"/>
    </row>
    <row r="20" spans="1:28" ht="12" customHeight="1">
      <c r="A20" s="1" t="str">
        <f>IF($D$13="English",IF($J$18="M","Manufacturer town:"," "),IF($D$13="Deutsch",IF($J$18="M","Hersteller/Prüfungsort:"," ")))</f>
        <v xml:space="preserve"> </v>
      </c>
      <c r="B20" s="1"/>
      <c r="C20" s="1"/>
      <c r="D20" s="310"/>
      <c r="E20" s="215"/>
      <c r="F20" s="215"/>
      <c r="G20" s="216"/>
      <c r="H20" s="1" t="str">
        <f>IF($D$13="English",IF($J$18="M","Installation town:"," "),IF($D$13="Deutsch",IF($J$18="M","Aufstellungsort:"," ")))</f>
        <v xml:space="preserve"> </v>
      </c>
      <c r="I20" s="1"/>
      <c r="J20" s="1"/>
      <c r="K20" s="315"/>
      <c r="L20" s="215"/>
      <c r="M20" s="215"/>
      <c r="N20" s="215"/>
      <c r="O20" s="215"/>
      <c r="P20" s="215"/>
      <c r="Q20" s="216"/>
      <c r="R20" s="1"/>
      <c r="S20" s="1"/>
      <c r="T20" s="1"/>
      <c r="U20" s="1"/>
      <c r="V20" s="1"/>
      <c r="W20" s="1"/>
      <c r="X20" s="1"/>
      <c r="Y20" s="1"/>
      <c r="Z20" s="1"/>
      <c r="AA20" s="1"/>
      <c r="AB20" s="1"/>
    </row>
    <row r="21" spans="1:28" ht="12" customHeight="1">
      <c r="A21" s="1" t="str">
        <f>IF($D$13="English",IF($J$18="M","g at Manufacturer site:","no info needed "),IF($D$13="Deutsch",IF($J$18="M","g Hersteller/Prüfung:","keine Info notwendig")))</f>
        <v xml:space="preserve">no info needed </v>
      </c>
      <c r="B21" s="1"/>
      <c r="C21" s="1"/>
      <c r="D21" s="311"/>
      <c r="E21" s="216"/>
      <c r="F21" s="7" t="s">
        <v>112</v>
      </c>
      <c r="G21" s="6"/>
      <c r="H21" s="1" t="str">
        <f>IF($D$13="English",IF($J$18="M","g at Installation site:"," "),IF($D$13="Deutsch",IF($J$18="M","g am Aufstellungsort:"," ")))</f>
        <v xml:space="preserve"> </v>
      </c>
      <c r="J21" s="17"/>
      <c r="K21" s="316"/>
      <c r="L21" s="302"/>
      <c r="M21" s="7" t="s">
        <v>113</v>
      </c>
      <c r="N21" s="1"/>
      <c r="O21" s="1"/>
      <c r="P21" s="1"/>
      <c r="Q21" s="1"/>
      <c r="R21" s="1"/>
      <c r="S21" s="1"/>
      <c r="T21" s="1"/>
      <c r="U21" s="1"/>
      <c r="V21" s="1"/>
      <c r="W21" s="1"/>
      <c r="X21" s="1"/>
      <c r="Y21" s="1"/>
      <c r="Z21" s="1"/>
      <c r="AA21" s="1"/>
      <c r="AB21" s="1"/>
    </row>
    <row r="22" spans="1:28" ht="12" customHeight="1">
      <c r="A22" s="1" t="str">
        <f>IF($D$13="English",IF($J$18="M","weight control:"," "),IF($D$13="Deutsch",IF($J$18="M","Gewichtskontrolle:"," ")))</f>
        <v xml:space="preserve"> </v>
      </c>
      <c r="B22" s="1"/>
      <c r="C22" s="1"/>
      <c r="D22" s="1" t="str">
        <f>IF($D$13="English",IF($J$18="M","standard weights:"," "),IF($D$13="Deutsch",IF($J$18="M","Kalibriergewicht:"," ")))</f>
        <v xml:space="preserve"> </v>
      </c>
      <c r="E22" s="1"/>
      <c r="F22" s="312"/>
      <c r="G22" s="313"/>
      <c r="H22" s="30" t="s">
        <v>33</v>
      </c>
      <c r="J22" s="1" t="str">
        <f>IF($D$13="English",IF($J$18="M","calculated weight:"," "),IF($D$13="Deutsch",IF($J$18="M","umgerechnetes Gewicht:"," ")))</f>
        <v xml:space="preserve"> </v>
      </c>
      <c r="K22" s="1"/>
      <c r="L22" s="1"/>
      <c r="M22" s="1"/>
      <c r="N22" s="317" t="str">
        <f>IF(F22=""," ",F22*(1-($K$21-$D$21)/$D$21))</f>
        <v xml:space="preserve"> </v>
      </c>
      <c r="O22" s="318"/>
      <c r="P22" s="313"/>
      <c r="Q22" s="30" t="s">
        <v>33</v>
      </c>
      <c r="R22" s="1"/>
      <c r="S22" s="1"/>
      <c r="T22" s="1"/>
      <c r="U22" s="1"/>
      <c r="V22" s="1"/>
      <c r="W22" s="1"/>
      <c r="X22" s="1"/>
      <c r="Y22" s="1"/>
      <c r="Z22" s="1"/>
      <c r="AA22" s="1"/>
      <c r="AB22" s="1"/>
    </row>
    <row r="23" spans="1:28" ht="12" customHeight="1">
      <c r="A23" s="1"/>
      <c r="B23" s="1"/>
      <c r="C23" s="1"/>
      <c r="D23" s="1"/>
      <c r="E23" s="1"/>
      <c r="F23" s="1"/>
      <c r="G23" s="6"/>
      <c r="J23" s="17"/>
      <c r="K23" s="1"/>
      <c r="L23" s="1"/>
      <c r="M23" s="1"/>
      <c r="N23" s="1"/>
      <c r="O23" s="1"/>
      <c r="P23" s="1"/>
      <c r="Q23" s="1"/>
      <c r="R23" s="1"/>
      <c r="S23" s="1"/>
      <c r="T23" s="1"/>
      <c r="U23" s="1"/>
      <c r="V23" s="1"/>
      <c r="W23" s="1"/>
      <c r="X23" s="1"/>
      <c r="Y23" s="1"/>
      <c r="Z23" s="1"/>
      <c r="AA23" s="1"/>
      <c r="AB23" s="1"/>
    </row>
    <row r="24" spans="1:28" ht="12" customHeight="1">
      <c r="A24" s="7" t="str">
        <f>IF($D$13="English","1. Repeatability Test (indicator in hi-res mode):","1. Prüfung der Wiederholbarkeit (Indikator in Hi-Res-Modus):")</f>
        <v>1. Repeatability Test (indicator in hi-res mode):</v>
      </c>
      <c r="B24" s="1"/>
      <c r="C24" s="6"/>
      <c r="D24" s="8"/>
      <c r="E24" s="8"/>
      <c r="F24" s="1"/>
      <c r="G24" s="1"/>
      <c r="H24" s="1" t="str">
        <f>IF($D$13="English","accordance to EN45501-2015, A.4.10","gemäß EN45501-2015, A.4.10")</f>
        <v>accordance to EN45501-2015, A.4.10</v>
      </c>
      <c r="I24" s="1"/>
      <c r="J24" s="1"/>
      <c r="K24" s="6"/>
      <c r="L24" s="6"/>
      <c r="M24" s="6"/>
      <c r="N24" s="1"/>
      <c r="O24" s="1"/>
      <c r="P24" s="1"/>
      <c r="Q24" s="1"/>
      <c r="R24" s="1"/>
      <c r="S24" s="1"/>
      <c r="T24" s="1"/>
      <c r="U24" s="1"/>
      <c r="V24" s="1"/>
      <c r="W24" s="1"/>
      <c r="X24" s="1"/>
      <c r="Y24" s="1"/>
      <c r="Z24" s="1"/>
      <c r="AA24" s="1"/>
      <c r="AB24" s="1"/>
    </row>
    <row r="25" spans="1:28" ht="12" customHeight="1">
      <c r="A25" s="1" t="str">
        <f>IF($D$13="English","* The zero tracking device may be in operation for the repeatability test.","* Die Nullnachführung darf bei der Prüfung der Wiederholbarkeit eingeschaltet sein")</f>
        <v>* The zero tracking device may be in operation for the repeatability test.</v>
      </c>
      <c r="B25" s="1"/>
      <c r="C25" s="6"/>
      <c r="D25" s="8"/>
      <c r="E25" s="8"/>
      <c r="F25" s="1"/>
      <c r="G25" s="1"/>
      <c r="H25" s="1"/>
      <c r="I25" s="1"/>
      <c r="J25" s="1"/>
      <c r="K25" s="6"/>
      <c r="L25" s="6"/>
      <c r="M25" s="6"/>
      <c r="N25" s="1"/>
      <c r="O25" s="1"/>
      <c r="P25" s="1"/>
      <c r="Q25" s="1"/>
      <c r="R25" s="1"/>
      <c r="S25" s="1"/>
      <c r="T25" s="1"/>
      <c r="U25" s="1"/>
      <c r="V25" s="1"/>
      <c r="W25" s="1"/>
      <c r="X25" s="1"/>
      <c r="Y25" s="1"/>
      <c r="Z25" s="1"/>
      <c r="AA25" s="1"/>
      <c r="AB25" s="1"/>
    </row>
    <row r="26" spans="1:28" ht="12" customHeight="1">
      <c r="A26" s="1" t="str">
        <f>IF($D$13="English","Substitution of standard weights: Standard weights of at least 1 t or 50% Max must be available","Einsatz von Ersatzlasten: Standardgewichte von mindestens 1t oder 50%Max müssen vorhanden sein. ")</f>
        <v>Substitution of standard weights: Standard weights of at least 1 t or 50% Max must be available</v>
      </c>
      <c r="B26" s="1"/>
      <c r="C26" s="6"/>
      <c r="D26" s="8"/>
      <c r="E26" s="8"/>
      <c r="F26" s="1"/>
      <c r="G26" s="1"/>
      <c r="H26" s="1"/>
      <c r="I26" s="1"/>
      <c r="J26" s="1"/>
      <c r="K26" s="6"/>
      <c r="L26" s="6"/>
      <c r="M26" s="6"/>
      <c r="N26" s="1"/>
      <c r="O26" s="1"/>
      <c r="P26" s="1"/>
      <c r="Q26" s="1"/>
      <c r="R26" s="1"/>
      <c r="S26" s="1"/>
      <c r="T26" s="1"/>
      <c r="U26" s="1"/>
      <c r="V26" s="1"/>
      <c r="W26" s="1"/>
      <c r="X26" s="1"/>
      <c r="Y26" s="1"/>
      <c r="Z26" s="1"/>
      <c r="AA26" s="1"/>
      <c r="AB26" s="1"/>
    </row>
    <row r="27" spans="1:28" ht="12" customHeight="1">
      <c r="A27" s="128" t="str">
        <f>IF($J$18="M","L calc = calculated load at Testing Site"," ")</f>
        <v xml:space="preserve"> </v>
      </c>
      <c r="B27" s="128"/>
      <c r="C27" s="6"/>
      <c r="D27" s="8"/>
      <c r="E27" s="8"/>
      <c r="F27" s="1"/>
      <c r="G27" s="1"/>
      <c r="H27" s="1"/>
      <c r="I27" s="1"/>
      <c r="J27" s="1"/>
      <c r="K27" s="6"/>
      <c r="L27" s="6"/>
      <c r="M27" s="327"/>
      <c r="N27" s="298"/>
      <c r="O27" s="1"/>
      <c r="P27" s="1"/>
      <c r="Q27" s="1"/>
      <c r="R27" s="1"/>
      <c r="S27" s="1"/>
      <c r="T27" s="1"/>
      <c r="U27" s="1"/>
      <c r="V27" s="1"/>
      <c r="W27" s="1"/>
      <c r="X27" s="1"/>
      <c r="Y27" s="1"/>
      <c r="Z27" s="1"/>
      <c r="AA27" s="1"/>
      <c r="AB27" s="1"/>
    </row>
    <row r="28" spans="1:28" ht="12.75" customHeight="1">
      <c r="A28" s="234" t="str">
        <f>IF($D$13="English","load must be about","ungefähre Last")</f>
        <v>load must be about</v>
      </c>
      <c r="B28" s="223"/>
      <c r="C28" s="220"/>
      <c r="D28" s="231" t="s">
        <v>26</v>
      </c>
      <c r="E28" s="223"/>
      <c r="F28" s="220"/>
      <c r="G28" s="231" t="s">
        <v>27</v>
      </c>
      <c r="H28" s="220"/>
      <c r="I28" s="231" t="s">
        <v>28</v>
      </c>
      <c r="J28" s="220"/>
      <c r="K28" s="231" t="s">
        <v>29</v>
      </c>
      <c r="L28" s="220"/>
      <c r="M28" s="136" t="s">
        <v>30</v>
      </c>
      <c r="N28" s="323" t="s">
        <v>81</v>
      </c>
      <c r="O28" s="324"/>
      <c r="P28" s="308" t="str">
        <f>IF($J$18="M","L calc"," ")</f>
        <v xml:space="preserve"> </v>
      </c>
      <c r="Q28" s="220"/>
      <c r="R28" s="1"/>
      <c r="S28" s="1"/>
      <c r="T28" s="88"/>
      <c r="U28" s="1"/>
    </row>
    <row r="29" spans="1:28" ht="12" customHeight="1">
      <c r="A29" s="19" t="s">
        <v>32</v>
      </c>
      <c r="B29" s="239" t="s">
        <v>33</v>
      </c>
      <c r="C29" s="220"/>
      <c r="D29" s="19" t="s">
        <v>32</v>
      </c>
      <c r="E29" s="239" t="s">
        <v>33</v>
      </c>
      <c r="F29" s="220"/>
      <c r="G29" s="231" t="s">
        <v>33</v>
      </c>
      <c r="H29" s="220"/>
      <c r="I29" s="231" t="s">
        <v>33</v>
      </c>
      <c r="J29" s="223"/>
      <c r="K29" s="19" t="s">
        <v>33</v>
      </c>
      <c r="L29" s="21" t="s">
        <v>32</v>
      </c>
      <c r="M29" s="19" t="s">
        <v>34</v>
      </c>
      <c r="N29" s="231" t="s">
        <v>32</v>
      </c>
      <c r="O29" s="220"/>
      <c r="P29" s="308" t="str">
        <f>IF($J$18="M","[kg]"," ")</f>
        <v xml:space="preserve"> </v>
      </c>
      <c r="Q29" s="220"/>
      <c r="R29" s="1"/>
      <c r="S29" s="1"/>
      <c r="T29" s="1"/>
      <c r="U29" s="1"/>
    </row>
    <row r="30" spans="1:28" ht="12" customHeight="1">
      <c r="A30" s="24" t="str">
        <f t="shared" ref="A30:A32" si="0">IF($D$10=0," ",$D$9/$D$10*0.5)</f>
        <v xml:space="preserve"> </v>
      </c>
      <c r="B30" s="282">
        <f t="shared" ref="B30:B32" si="1">$D$9*0.5</f>
        <v>0</v>
      </c>
      <c r="C30" s="220"/>
      <c r="D30" s="24" t="str">
        <f t="shared" ref="D30:D32" si="2">IF($D$10=0," ",$E$30/$D$10)</f>
        <v xml:space="preserve"> </v>
      </c>
      <c r="E30" s="284"/>
      <c r="F30" s="216"/>
      <c r="G30" s="269"/>
      <c r="H30" s="216"/>
      <c r="I30" s="270" t="str">
        <f t="shared" ref="I30:I32" si="3">IF(G30=0," ",IF($J$18="M",ABS(P30-G30),ABS(G30-E30)))</f>
        <v xml:space="preserve"> </v>
      </c>
      <c r="J30" s="220"/>
      <c r="K30" s="82">
        <f t="shared" ref="K30:K33" si="4">L30*$D$10</f>
        <v>0</v>
      </c>
      <c r="L30" s="26">
        <f t="shared" ref="L30:L32" si="5">IF(D30=" ",0,IF(D30&lt;=500,0.5,(IF(D30&lt;=2000,1,IF(D30&gt;2000,1.5," ")))))</f>
        <v>0</v>
      </c>
      <c r="M30" s="27" t="str">
        <f t="shared" ref="M30:M33" si="6">IF(I30&lt;=K30,"Y","N")</f>
        <v>N</v>
      </c>
      <c r="N30" s="270" t="str">
        <f t="shared" ref="N30:N32" si="7">IF(G30=0," ",ROUND(I30/$D$10,2))</f>
        <v xml:space="preserve"> </v>
      </c>
      <c r="O30" s="220"/>
      <c r="P30" s="307" t="str">
        <f t="shared" ref="P30:P32" si="8">IF($J$18="M",(IF(E30=" "," ",(E30*(1-($K$21-$D$21)/$D$21))))," ")</f>
        <v xml:space="preserve"> </v>
      </c>
      <c r="Q30" s="220"/>
      <c r="R30" s="137"/>
      <c r="S30" s="1"/>
      <c r="T30" s="1"/>
      <c r="U30" s="1"/>
      <c r="V30" s="1"/>
      <c r="W30" s="1"/>
      <c r="X30" s="1"/>
      <c r="Y30" s="1"/>
      <c r="Z30" s="1"/>
      <c r="AA30" s="1"/>
      <c r="AB30" s="1"/>
    </row>
    <row r="31" spans="1:28" ht="12" customHeight="1">
      <c r="A31" s="24" t="str">
        <f t="shared" si="0"/>
        <v xml:space="preserve"> </v>
      </c>
      <c r="B31" s="282">
        <f t="shared" si="1"/>
        <v>0</v>
      </c>
      <c r="C31" s="220"/>
      <c r="D31" s="24" t="str">
        <f t="shared" si="2"/>
        <v xml:space="preserve"> </v>
      </c>
      <c r="E31" s="322" t="str">
        <f t="shared" ref="E31:E32" si="9">IF(E30=0," ",E30)</f>
        <v xml:space="preserve"> </v>
      </c>
      <c r="F31" s="220"/>
      <c r="G31" s="269"/>
      <c r="H31" s="216"/>
      <c r="I31" s="270" t="str">
        <f t="shared" si="3"/>
        <v xml:space="preserve"> </v>
      </c>
      <c r="J31" s="220"/>
      <c r="K31" s="82">
        <f t="shared" si="4"/>
        <v>0</v>
      </c>
      <c r="L31" s="26">
        <f t="shared" si="5"/>
        <v>0</v>
      </c>
      <c r="M31" s="27" t="str">
        <f t="shared" si="6"/>
        <v>N</v>
      </c>
      <c r="N31" s="270" t="str">
        <f t="shared" si="7"/>
        <v xml:space="preserve"> </v>
      </c>
      <c r="O31" s="220"/>
      <c r="P31" s="307" t="str">
        <f t="shared" si="8"/>
        <v xml:space="preserve"> </v>
      </c>
      <c r="Q31" s="220"/>
      <c r="R31" s="1"/>
      <c r="S31" s="1"/>
      <c r="T31" s="1"/>
      <c r="AA31" s="1"/>
      <c r="AB31" s="1"/>
    </row>
    <row r="32" spans="1:28" ht="12" customHeight="1">
      <c r="A32" s="24" t="str">
        <f t="shared" si="0"/>
        <v xml:space="preserve"> </v>
      </c>
      <c r="B32" s="282">
        <f t="shared" si="1"/>
        <v>0</v>
      </c>
      <c r="C32" s="220"/>
      <c r="D32" s="24" t="str">
        <f t="shared" si="2"/>
        <v xml:space="preserve"> </v>
      </c>
      <c r="E32" s="322" t="str">
        <f t="shared" si="9"/>
        <v xml:space="preserve"> </v>
      </c>
      <c r="F32" s="220"/>
      <c r="G32" s="269"/>
      <c r="H32" s="216"/>
      <c r="I32" s="270" t="str">
        <f t="shared" si="3"/>
        <v xml:space="preserve"> </v>
      </c>
      <c r="J32" s="220"/>
      <c r="K32" s="82">
        <f t="shared" si="4"/>
        <v>0</v>
      </c>
      <c r="L32" s="26">
        <f t="shared" si="5"/>
        <v>0</v>
      </c>
      <c r="M32" s="27" t="str">
        <f t="shared" si="6"/>
        <v>N</v>
      </c>
      <c r="N32" s="270" t="str">
        <f t="shared" si="7"/>
        <v xml:space="preserve"> </v>
      </c>
      <c r="O32" s="220"/>
      <c r="P32" s="307" t="str">
        <f t="shared" si="8"/>
        <v xml:space="preserve"> </v>
      </c>
      <c r="Q32" s="220"/>
      <c r="R32" s="1"/>
      <c r="S32" s="1"/>
      <c r="AA32" s="1"/>
      <c r="AB32" s="1"/>
    </row>
    <row r="33" spans="1:28" ht="12" customHeight="1">
      <c r="A33" s="28"/>
      <c r="B33" s="100"/>
      <c r="C33" s="101"/>
      <c r="D33" s="28"/>
      <c r="E33" s="100"/>
      <c r="F33" s="100"/>
      <c r="G33" s="231" t="s">
        <v>114</v>
      </c>
      <c r="H33" s="220"/>
      <c r="I33" s="270">
        <f>IF(G30=0,0,ROUND((MAX(G30:H32)-MIN(G30:H32)),4))</f>
        <v>0</v>
      </c>
      <c r="J33" s="220"/>
      <c r="K33" s="82">
        <f t="shared" si="4"/>
        <v>0</v>
      </c>
      <c r="L33" s="26">
        <f>IF(OR(D30=" ",D31=" ",D32=" "),0,IF(AND(D30&lt;=500,D31&lt;=500,D32&lt;=500),0.5,(IF(AND(D30&lt;=2000,D31&lt;=2000,D32&lt;=2000),1,IF(AND(D30&gt;2000,D31&gt;2000,D32&gt;2000),1.5," ")))))</f>
        <v>0</v>
      </c>
      <c r="M33" s="27" t="str">
        <f t="shared" si="6"/>
        <v>Y</v>
      </c>
      <c r="N33" s="43"/>
      <c r="O33" s="43"/>
      <c r="P33" s="1"/>
      <c r="Q33" s="1"/>
      <c r="R33" s="1"/>
      <c r="S33" s="1"/>
      <c r="AA33" s="1"/>
      <c r="AB33" s="1"/>
    </row>
    <row r="34" spans="1:28" ht="12" customHeight="1">
      <c r="A34" s="1"/>
      <c r="B34" s="1"/>
      <c r="C34" s="1"/>
      <c r="D34" s="1"/>
      <c r="E34" s="1"/>
      <c r="F34" s="1"/>
      <c r="G34" s="1"/>
      <c r="H34" s="1"/>
      <c r="I34" s="1"/>
      <c r="J34" s="224" t="str">
        <f>IF($D$13="English","Test passed?","Test bestanden?")</f>
        <v>Test passed?</v>
      </c>
      <c r="K34" s="225"/>
      <c r="L34" s="226"/>
      <c r="M34" s="27" t="str">
        <f>IF(AND(M30="Y",M31="Y",M32="Y",M33="Y"),"Y","N")</f>
        <v>N</v>
      </c>
      <c r="N34" s="1"/>
      <c r="O34" s="1"/>
      <c r="P34" s="1"/>
      <c r="Q34" s="1"/>
      <c r="R34" s="1"/>
      <c r="S34" s="1"/>
      <c r="T34" s="1"/>
      <c r="U34" s="1"/>
      <c r="V34" s="1"/>
      <c r="W34" s="1"/>
      <c r="X34" s="1"/>
      <c r="Y34" s="1"/>
      <c r="Z34" s="1"/>
      <c r="AA34" s="1"/>
      <c r="AB34" s="1"/>
    </row>
    <row r="35" spans="1:28" ht="14.25" customHeight="1">
      <c r="A35" s="1"/>
      <c r="B35" s="1"/>
      <c r="C35" s="1"/>
      <c r="D35" s="1" t="str">
        <f>IF(D13="deutsch","Anteil Eichgewichte:","Contingent of standard weights:")</f>
        <v>Contingent of standard weights:</v>
      </c>
      <c r="E35" s="85"/>
      <c r="F35" s="85"/>
      <c r="G35" s="13"/>
      <c r="H35" s="13"/>
      <c r="I35" s="7" t="str">
        <f>IF(D10=0," ",IF(ROUND(I33/D10,2)&lt;=0.2,"1/5 Max",IF(ROUND(I33/D10,2)&lt;=0.3,"1/3 Max","1/2 Max")))</f>
        <v xml:space="preserve"> </v>
      </c>
      <c r="J35" s="13"/>
      <c r="K35" s="86" t="s">
        <v>85</v>
      </c>
      <c r="L35" s="273" t="str">
        <f>IF(D10=0," ",IF(ROUND(I33/D10,2)&lt;=0.2,D9/5,IF(ROUND(I33/D10,2)&lt;=0.3,D9/3,D9/2)))</f>
        <v xml:space="preserve"> </v>
      </c>
      <c r="M35" s="237"/>
      <c r="N35" s="237"/>
      <c r="O35" s="13" t="s">
        <v>11</v>
      </c>
      <c r="P35" s="1"/>
      <c r="Q35" s="1"/>
      <c r="R35" s="88"/>
      <c r="S35" s="1"/>
      <c r="AA35" s="1"/>
      <c r="AB35" s="1"/>
    </row>
    <row r="36" spans="1:28" ht="12" customHeight="1">
      <c r="A36" s="1"/>
      <c r="B36" s="1"/>
      <c r="C36" s="1"/>
      <c r="D36" s="1"/>
      <c r="E36" s="1"/>
      <c r="F36" s="1"/>
      <c r="G36" s="1"/>
      <c r="H36" s="1"/>
      <c r="I36" s="1"/>
      <c r="J36" s="6"/>
      <c r="M36" s="1"/>
      <c r="N36" s="1"/>
      <c r="O36" s="1"/>
      <c r="P36" s="1"/>
      <c r="Q36" s="1"/>
      <c r="R36" s="1"/>
      <c r="S36" s="1"/>
      <c r="T36" s="1"/>
      <c r="U36" s="1"/>
      <c r="V36" s="1"/>
      <c r="W36" s="1"/>
      <c r="X36" s="1"/>
      <c r="Y36" s="1"/>
      <c r="Z36" s="1"/>
      <c r="AA36" s="1"/>
      <c r="AB36" s="1"/>
    </row>
    <row r="37" spans="1:28" ht="15.75" customHeight="1">
      <c r="A37" s="7" t="str">
        <f>IF($D$13="English","2.  Accuracy of Zero Device (hi-res mode: off):","2.  Prüfung der Genauigkeit der Nullstellung (Hi-Res-Modus aus):")</f>
        <v>2.  Accuracy of Zero Device (hi-res mode: off):</v>
      </c>
      <c r="B37" s="1"/>
      <c r="C37" s="1"/>
      <c r="D37" s="1"/>
      <c r="E37" s="1"/>
      <c r="F37" s="1"/>
      <c r="G37" s="1"/>
      <c r="H37" s="1" t="str">
        <f>IF($D$13="English","accordance to EN45501-2015, A.4.2.3","gemäß EN45501-2015, A.4.2.3")</f>
        <v>accordance to EN45501-2015, A.4.2.3</v>
      </c>
      <c r="I37" s="1"/>
      <c r="J37" s="1"/>
      <c r="K37" s="1"/>
      <c r="L37" s="30"/>
      <c r="M37" s="1"/>
      <c r="N37" s="1"/>
      <c r="O37" s="1"/>
      <c r="P37" s="1"/>
      <c r="Q37" s="1"/>
      <c r="R37" s="1"/>
      <c r="S37" s="1"/>
      <c r="T37" s="1"/>
      <c r="U37" s="1"/>
      <c r="V37" s="1"/>
      <c r="W37" s="1"/>
      <c r="X37" s="1"/>
      <c r="Y37" s="1"/>
      <c r="Z37" s="1"/>
      <c r="AA37" s="1"/>
      <c r="AB37" s="1"/>
    </row>
    <row r="38" spans="1:28" ht="12" customHeight="1">
      <c r="A38" s="231" t="s">
        <v>48</v>
      </c>
      <c r="B38" s="223"/>
      <c r="C38" s="223"/>
      <c r="D38" s="220"/>
      <c r="E38" s="231" t="s">
        <v>49</v>
      </c>
      <c r="F38" s="223"/>
      <c r="G38" s="220"/>
      <c r="H38" s="231" t="s">
        <v>29</v>
      </c>
      <c r="I38" s="220"/>
      <c r="J38" s="19" t="s">
        <v>30</v>
      </c>
      <c r="K38" s="30"/>
      <c r="L38" s="1"/>
      <c r="M38" s="1"/>
      <c r="N38" s="1"/>
      <c r="O38" s="1"/>
      <c r="P38" s="1"/>
      <c r="Q38" s="1"/>
      <c r="R38" s="1"/>
      <c r="S38" s="1"/>
      <c r="T38" s="1"/>
      <c r="U38" s="1"/>
      <c r="V38" s="1"/>
      <c r="W38" s="1"/>
      <c r="X38" s="1"/>
      <c r="Y38" s="1"/>
      <c r="Z38" s="1"/>
      <c r="AA38" s="1"/>
      <c r="AB38" s="1"/>
    </row>
    <row r="39" spans="1:28" ht="12.75" customHeight="1">
      <c r="A39" s="231" t="s">
        <v>33</v>
      </c>
      <c r="B39" s="223"/>
      <c r="C39" s="223"/>
      <c r="D39" s="220"/>
      <c r="E39" s="231" t="s">
        <v>33</v>
      </c>
      <c r="F39" s="223"/>
      <c r="G39" s="220"/>
      <c r="H39" s="19" t="s">
        <v>33</v>
      </c>
      <c r="I39" s="21" t="s">
        <v>32</v>
      </c>
      <c r="J39" s="19" t="s">
        <v>34</v>
      </c>
      <c r="K39" s="30"/>
      <c r="L39" s="1"/>
      <c r="M39" s="1"/>
      <c r="N39" s="1"/>
      <c r="O39" s="1"/>
      <c r="P39" s="1"/>
      <c r="Q39" s="1"/>
      <c r="R39" s="1"/>
      <c r="S39" s="1"/>
      <c r="T39" s="1"/>
      <c r="U39" s="1"/>
      <c r="V39" s="1"/>
      <c r="W39" s="1"/>
      <c r="X39" s="1"/>
      <c r="Y39" s="1"/>
      <c r="Z39" s="1"/>
      <c r="AA39" s="1"/>
      <c r="AB39" s="1"/>
    </row>
    <row r="40" spans="1:28" ht="12" customHeight="1">
      <c r="A40" s="235"/>
      <c r="B40" s="215"/>
      <c r="C40" s="215"/>
      <c r="D40" s="216"/>
      <c r="E40" s="228">
        <f>0.5*$D$10-$A$40</f>
        <v>0</v>
      </c>
      <c r="F40" s="223"/>
      <c r="G40" s="220"/>
      <c r="H40" s="71">
        <f>I40*$D$10</f>
        <v>0</v>
      </c>
      <c r="I40" s="36">
        <v>0.25</v>
      </c>
      <c r="J40" s="27" t="str">
        <f>IF(D40=" ","N",IF(H40&gt;=ABS($E40),"Y","N"))</f>
        <v>Y</v>
      </c>
      <c r="K40" s="28"/>
      <c r="R40" s="1"/>
      <c r="S40" s="1"/>
      <c r="T40" s="1"/>
      <c r="U40" s="1"/>
      <c r="V40" s="1"/>
      <c r="W40" s="1"/>
      <c r="X40" s="1"/>
      <c r="Y40" s="1"/>
      <c r="Z40" s="1"/>
      <c r="AA40" s="1"/>
      <c r="AB40" s="1"/>
    </row>
    <row r="41" spans="1:28" ht="12" customHeight="1">
      <c r="A41" s="7"/>
      <c r="B41" s="7"/>
      <c r="C41" s="1"/>
      <c r="D41" s="1"/>
      <c r="E41" s="1"/>
      <c r="F41" s="1"/>
      <c r="G41" s="1"/>
      <c r="H41" s="1"/>
      <c r="I41" s="6" t="str">
        <f>IF($D$13="English","Test passed?","Test bestanden?")</f>
        <v>Test passed?</v>
      </c>
      <c r="J41" s="27" t="str">
        <f>IF(J40="Y","Y","N")</f>
        <v>Y</v>
      </c>
      <c r="K41" s="1"/>
      <c r="R41" s="1"/>
      <c r="S41" s="1"/>
      <c r="T41" s="1"/>
      <c r="U41" s="1"/>
      <c r="V41" s="1"/>
      <c r="W41" s="1"/>
      <c r="X41" s="1"/>
      <c r="Y41" s="1"/>
      <c r="Z41" s="1"/>
      <c r="AA41" s="1"/>
      <c r="AB41" s="1"/>
    </row>
    <row r="42" spans="1:28" ht="12" customHeight="1">
      <c r="A42" s="7"/>
      <c r="B42" s="1"/>
      <c r="C42" s="1"/>
      <c r="D42" s="1"/>
      <c r="E42" s="1"/>
      <c r="F42" s="1"/>
      <c r="G42" s="1"/>
      <c r="H42" s="1"/>
      <c r="I42" s="1"/>
      <c r="J42" s="1"/>
      <c r="K42" s="1"/>
      <c r="L42" s="30"/>
      <c r="M42" s="1"/>
      <c r="R42" s="1"/>
      <c r="S42" s="1"/>
      <c r="T42" s="1"/>
      <c r="U42" s="1"/>
      <c r="V42" s="1"/>
      <c r="W42" s="1"/>
      <c r="X42" s="1"/>
      <c r="Y42" s="1"/>
      <c r="Z42" s="1"/>
      <c r="AA42" s="1"/>
      <c r="AB42" s="1"/>
    </row>
    <row r="43" spans="1:28" ht="12" customHeight="1">
      <c r="A43" s="7" t="str">
        <f>IF($D$13="English","3.  Accuracy of Tare Device  (hi-res mode: off):","3.  Genauigkeit der Tarierung  (Hi-Res-Modus: aus):")</f>
        <v>3.  Accuracy of Tare Device  (hi-res mode: off):</v>
      </c>
      <c r="B43" s="31"/>
      <c r="C43" s="32"/>
      <c r="D43" s="1"/>
      <c r="E43" s="1"/>
      <c r="F43" s="1"/>
      <c r="G43" s="1" t="str">
        <f>IF($D$13="English","accordance to EN45501-2015, A.4.6.2","gemäß EN45501-2015, A.4.6.2")</f>
        <v>accordance to EN45501-2015, A.4.6.2</v>
      </c>
      <c r="H43" s="1"/>
      <c r="J43" s="17"/>
      <c r="K43" s="1"/>
      <c r="L43" s="1"/>
      <c r="M43" s="33" t="s">
        <v>50</v>
      </c>
      <c r="O43" s="34"/>
      <c r="R43" s="1"/>
      <c r="S43" s="1"/>
      <c r="T43" s="1"/>
      <c r="U43" s="1"/>
      <c r="V43" s="1"/>
      <c r="W43" s="1"/>
      <c r="X43" s="1"/>
      <c r="Y43" s="1"/>
      <c r="Z43" s="1"/>
      <c r="AA43" s="1"/>
      <c r="AB43" s="1"/>
    </row>
    <row r="44" spans="1:28" ht="12" customHeight="1">
      <c r="A44" s="1"/>
      <c r="B44" s="31"/>
      <c r="C44" s="32"/>
      <c r="D44" s="1"/>
      <c r="E44" s="1"/>
      <c r="F44" s="1"/>
      <c r="G44" s="6"/>
      <c r="H44" s="1"/>
      <c r="J44" s="17"/>
      <c r="K44" s="1"/>
      <c r="L44" s="1"/>
      <c r="M44" s="1"/>
      <c r="N44" s="1"/>
      <c r="O44" s="1"/>
      <c r="P44" s="1"/>
      <c r="Q44" s="1"/>
      <c r="R44" s="1"/>
      <c r="S44" s="1"/>
      <c r="T44" s="1"/>
      <c r="U44" s="1"/>
      <c r="V44" s="1"/>
      <c r="W44" s="1"/>
      <c r="X44" s="1"/>
      <c r="Y44" s="1"/>
      <c r="Z44" s="1"/>
      <c r="AA44" s="1"/>
      <c r="AB44" s="1"/>
    </row>
    <row r="45" spans="1:28" ht="12" customHeight="1">
      <c r="A45" s="231" t="s">
        <v>48</v>
      </c>
      <c r="B45" s="223"/>
      <c r="C45" s="223"/>
      <c r="D45" s="220"/>
      <c r="E45" s="231" t="s">
        <v>51</v>
      </c>
      <c r="F45" s="223"/>
      <c r="G45" s="220"/>
      <c r="H45" s="231" t="s">
        <v>29</v>
      </c>
      <c r="I45" s="220"/>
      <c r="J45" s="19" t="s">
        <v>30</v>
      </c>
      <c r="K45" s="1"/>
      <c r="L45" s="1"/>
      <c r="M45" s="1"/>
      <c r="N45" s="1"/>
      <c r="O45" s="1"/>
      <c r="P45" s="1"/>
      <c r="Q45" s="1"/>
      <c r="R45" s="1"/>
      <c r="S45" s="1"/>
      <c r="T45" s="1"/>
      <c r="U45" s="1"/>
      <c r="V45" s="1"/>
      <c r="W45" s="1"/>
      <c r="X45" s="1"/>
      <c r="Y45" s="1"/>
      <c r="Z45" s="1"/>
      <c r="AA45" s="1"/>
      <c r="AB45" s="1"/>
    </row>
    <row r="46" spans="1:28" ht="12" customHeight="1">
      <c r="A46" s="231" t="s">
        <v>33</v>
      </c>
      <c r="B46" s="223"/>
      <c r="C46" s="223"/>
      <c r="D46" s="220"/>
      <c r="E46" s="231" t="s">
        <v>33</v>
      </c>
      <c r="F46" s="223"/>
      <c r="G46" s="220"/>
      <c r="H46" s="19" t="s">
        <v>33</v>
      </c>
      <c r="I46" s="21" t="s">
        <v>32</v>
      </c>
      <c r="J46" s="19" t="s">
        <v>34</v>
      </c>
      <c r="K46" s="1"/>
      <c r="L46" s="1"/>
      <c r="M46" s="1"/>
      <c r="N46" s="1"/>
      <c r="O46" s="1"/>
      <c r="P46" s="1"/>
      <c r="Q46" s="1"/>
      <c r="R46" s="1"/>
      <c r="S46" s="1"/>
      <c r="T46" s="1"/>
      <c r="U46" s="1"/>
      <c r="V46" s="1"/>
      <c r="W46" s="1"/>
      <c r="X46" s="1"/>
      <c r="Y46" s="1"/>
      <c r="Z46" s="1"/>
      <c r="AA46" s="1"/>
      <c r="AB46" s="1"/>
    </row>
    <row r="47" spans="1:28" ht="12" customHeight="1">
      <c r="A47" s="235"/>
      <c r="B47" s="215"/>
      <c r="C47" s="215"/>
      <c r="D47" s="216"/>
      <c r="E47" s="228" t="str">
        <f>IF(A47=0," ",0.5*$D$10-$A$47)</f>
        <v xml:space="preserve"> </v>
      </c>
      <c r="F47" s="223"/>
      <c r="G47" s="220"/>
      <c r="H47" s="71">
        <f>I47*$D$10</f>
        <v>0</v>
      </c>
      <c r="I47" s="36">
        <v>0.25</v>
      </c>
      <c r="J47" s="27" t="str">
        <f>IF(A47=0," ",IF(H47&gt;=ABS($E47),"Y","N"))</f>
        <v xml:space="preserve"> </v>
      </c>
      <c r="K47" s="1"/>
      <c r="L47" s="1"/>
      <c r="M47" s="1"/>
      <c r="N47" s="1"/>
      <c r="O47" s="1"/>
      <c r="P47" s="1"/>
      <c r="Q47" s="1"/>
      <c r="R47" s="1"/>
      <c r="S47" s="1"/>
      <c r="T47" s="1"/>
      <c r="U47" s="1"/>
      <c r="V47" s="1"/>
      <c r="W47" s="1"/>
      <c r="X47" s="1"/>
      <c r="Y47" s="1"/>
      <c r="Z47" s="1"/>
      <c r="AA47" s="1"/>
      <c r="AB47" s="1"/>
    </row>
    <row r="48" spans="1:28" ht="12" customHeight="1">
      <c r="A48" s="7"/>
      <c r="B48" s="7"/>
      <c r="C48" s="1"/>
      <c r="D48" s="1"/>
      <c r="E48" s="1"/>
      <c r="F48" s="1"/>
      <c r="G48" s="1"/>
      <c r="H48" s="1"/>
      <c r="I48" s="6" t="str">
        <f>IF($D$13="English","Test passed?","Test bestanden?")</f>
        <v>Test passed?</v>
      </c>
      <c r="J48" s="27" t="str">
        <f>IF(J47="Y","Y","N")</f>
        <v>N</v>
      </c>
      <c r="K48" s="1"/>
      <c r="L48" s="1"/>
      <c r="M48" s="1"/>
      <c r="N48" s="1"/>
      <c r="O48" s="1"/>
      <c r="P48" s="1"/>
      <c r="Q48" s="1"/>
      <c r="R48" s="1"/>
      <c r="S48" s="1"/>
      <c r="T48" s="1"/>
      <c r="U48" s="1"/>
      <c r="V48" s="1"/>
      <c r="W48" s="1"/>
      <c r="X48" s="1"/>
      <c r="Y48" s="1"/>
      <c r="Z48" s="1"/>
      <c r="AA48" s="1"/>
      <c r="AB48" s="1"/>
    </row>
    <row r="49" spans="1:28" ht="12" customHeight="1">
      <c r="A49" s="1"/>
      <c r="B49" s="1"/>
      <c r="C49" s="1"/>
      <c r="D49" s="1"/>
      <c r="E49" s="1"/>
      <c r="F49" s="1"/>
      <c r="G49" s="6"/>
      <c r="J49" s="17"/>
      <c r="K49" s="1"/>
      <c r="L49" s="1"/>
      <c r="M49" s="1"/>
      <c r="N49" s="1"/>
      <c r="O49" s="1"/>
      <c r="P49" s="1"/>
      <c r="Q49" s="1"/>
      <c r="R49" s="1"/>
      <c r="S49" s="1"/>
      <c r="T49" s="1"/>
      <c r="U49" s="1"/>
      <c r="V49" s="1"/>
      <c r="W49" s="1"/>
      <c r="X49" s="1"/>
      <c r="Y49" s="1"/>
      <c r="Z49" s="1"/>
      <c r="AA49" s="1"/>
      <c r="AB49" s="1"/>
    </row>
    <row r="50" spans="1:28" ht="12" customHeight="1">
      <c r="A50" s="297" t="str">
        <f>IF($D$13="English","4.  Weighing / Linearity Test (Indicator in hi-res mode):","4. Prüfung der Richtigkeit mit Normallast (Indikator in Hi-Res-Modus):")</f>
        <v>4.  Weighing / Linearity Test (Indicator in hi-res mode):</v>
      </c>
      <c r="B50" s="237"/>
      <c r="C50" s="237"/>
      <c r="D50" s="237"/>
      <c r="E50" s="237"/>
      <c r="F50" s="237"/>
      <c r="G50" s="237"/>
      <c r="H50" s="237"/>
      <c r="I50" s="1"/>
      <c r="J50" s="14"/>
      <c r="K50" s="1"/>
      <c r="L50" s="1"/>
      <c r="M50" s="6"/>
      <c r="N50" s="1"/>
      <c r="O50" s="1"/>
      <c r="P50" s="1"/>
      <c r="Q50" s="1"/>
      <c r="R50" s="1"/>
      <c r="S50" s="1"/>
      <c r="T50" s="1"/>
      <c r="U50" s="1"/>
      <c r="V50" s="1"/>
      <c r="W50" s="1"/>
      <c r="X50" s="1"/>
      <c r="Y50" s="1"/>
      <c r="Z50" s="1"/>
      <c r="AA50" s="1"/>
      <c r="AB50" s="1"/>
    </row>
    <row r="51" spans="1:28" ht="12" customHeight="1">
      <c r="A51" s="298"/>
      <c r="B51" s="298"/>
      <c r="C51" s="298"/>
      <c r="D51" s="298"/>
      <c r="E51" s="298"/>
      <c r="F51" s="298"/>
      <c r="G51" s="298"/>
      <c r="H51" s="298"/>
      <c r="I51" s="1" t="str">
        <f>IF($D$13="English","accordance to EN45501-2015, A.4.4.1","gemäß EN45501-2015, A.4.4.1")</f>
        <v>accordance to EN45501-2015, A.4.4.1</v>
      </c>
      <c r="J51" s="14"/>
      <c r="K51" s="1"/>
      <c r="L51" s="1"/>
      <c r="M51" s="6"/>
      <c r="N51" s="1"/>
      <c r="O51" s="1"/>
      <c r="P51" s="1"/>
      <c r="Q51" s="1"/>
      <c r="R51" s="1"/>
      <c r="S51" s="1"/>
      <c r="T51" s="1"/>
      <c r="U51" s="1"/>
      <c r="V51" s="1"/>
      <c r="W51" s="1"/>
      <c r="X51" s="1"/>
      <c r="Y51" s="1"/>
      <c r="Z51" s="1"/>
      <c r="AA51" s="1"/>
      <c r="AB51" s="1"/>
    </row>
    <row r="52" spans="1:28" ht="12" customHeight="1">
      <c r="A52" s="234" t="str">
        <f>IF($D$13="English","load must be about","ungefähre Last")</f>
        <v>load must be about</v>
      </c>
      <c r="B52" s="223"/>
      <c r="C52" s="220"/>
      <c r="D52" s="231" t="s">
        <v>26</v>
      </c>
      <c r="E52" s="223"/>
      <c r="F52" s="220"/>
      <c r="G52" s="231" t="s">
        <v>27</v>
      </c>
      <c r="H52" s="220"/>
      <c r="I52" s="231" t="s">
        <v>101</v>
      </c>
      <c r="J52" s="220"/>
      <c r="K52" s="231" t="s">
        <v>29</v>
      </c>
      <c r="L52" s="220"/>
      <c r="M52" s="309" t="s">
        <v>109</v>
      </c>
      <c r="N52" s="220"/>
      <c r="O52" s="134" t="s">
        <v>110</v>
      </c>
      <c r="P52" s="308" t="str">
        <f>IF($J$18="M","L calc"," ")</f>
        <v xml:space="preserve"> </v>
      </c>
      <c r="Q52" s="220"/>
      <c r="R52" s="1"/>
      <c r="S52" s="1"/>
      <c r="T52" s="1"/>
      <c r="U52" s="1"/>
      <c r="V52" s="1"/>
      <c r="W52" s="1"/>
      <c r="X52" s="1"/>
      <c r="Y52" s="1"/>
      <c r="Z52" s="1"/>
      <c r="AA52" s="1"/>
      <c r="AB52" s="1"/>
    </row>
    <row r="53" spans="1:28" ht="12" customHeight="1">
      <c r="A53" s="19" t="s">
        <v>32</v>
      </c>
      <c r="B53" s="239" t="s">
        <v>33</v>
      </c>
      <c r="C53" s="220"/>
      <c r="D53" s="19" t="s">
        <v>32</v>
      </c>
      <c r="E53" s="239" t="s">
        <v>33</v>
      </c>
      <c r="F53" s="220"/>
      <c r="G53" s="231" t="s">
        <v>33</v>
      </c>
      <c r="H53" s="220"/>
      <c r="I53" s="231" t="s">
        <v>33</v>
      </c>
      <c r="J53" s="223"/>
      <c r="K53" s="19" t="s">
        <v>33</v>
      </c>
      <c r="L53" s="21" t="s">
        <v>32</v>
      </c>
      <c r="M53" s="231" t="s">
        <v>33</v>
      </c>
      <c r="N53" s="220"/>
      <c r="O53" s="135"/>
      <c r="P53" s="308" t="str">
        <f>IF($J$18="M","[kg]"," ")</f>
        <v xml:space="preserve"> </v>
      </c>
      <c r="Q53" s="220"/>
      <c r="R53" s="1"/>
      <c r="S53" s="1"/>
      <c r="T53" s="1"/>
      <c r="U53" s="1"/>
      <c r="V53" s="1"/>
      <c r="W53" s="1"/>
      <c r="X53" s="1"/>
      <c r="Y53" s="1"/>
      <c r="Z53" s="1"/>
      <c r="AA53" s="1"/>
      <c r="AB53" s="1"/>
    </row>
    <row r="54" spans="1:28" ht="12" customHeight="1">
      <c r="A54" s="38">
        <v>20</v>
      </c>
      <c r="B54" s="282">
        <f>A54*$D$10</f>
        <v>0</v>
      </c>
      <c r="C54" s="220"/>
      <c r="D54" s="38" t="str">
        <f t="shared" ref="D54:D62" si="10">IF($D$10=0,"-",E54/$D$10)</f>
        <v>-</v>
      </c>
      <c r="E54" s="285"/>
      <c r="F54" s="216"/>
      <c r="G54" s="321"/>
      <c r="H54" s="216"/>
      <c r="I54" s="270" t="str">
        <f t="shared" ref="I54:I62" si="11">IF(G54=0," ",IF($J$18="M",(G54-P54),(G54-E54)))</f>
        <v xml:space="preserve"> </v>
      </c>
      <c r="J54" s="220"/>
      <c r="K54" s="82">
        <f t="shared" ref="K54:K62" si="12">IF(L54=" "," ",L54*$D$10)</f>
        <v>0</v>
      </c>
      <c r="L54" s="26">
        <f t="shared" ref="L54:L62" si="13">IF(D54&lt;=500,0.5,(IF(D54&lt;=2000,1,IF(D54&gt;2000,1.5," "))))</f>
        <v>1.5</v>
      </c>
      <c r="M54" s="231" t="str">
        <f t="shared" ref="M54:M62" si="14">IF(E54=0," ",IF($E$40=" "," ",ROUND(I54-$E$40,3)))</f>
        <v xml:space="preserve"> </v>
      </c>
      <c r="N54" s="220"/>
      <c r="O54" s="27" t="str">
        <f t="shared" ref="O54:O62" si="15">IF(M54=" "," ",IF(ABS(M54)&lt;=K54,"Y","N"))</f>
        <v xml:space="preserve"> </v>
      </c>
      <c r="P54" s="307" t="str">
        <f t="shared" ref="P54:P62" si="16">IF($J$18="M",E54*(1-($K$21-$D$21)/$D$21)," ")</f>
        <v xml:space="preserve"> </v>
      </c>
      <c r="Q54" s="220"/>
      <c r="R54" s="1"/>
      <c r="S54" s="1"/>
      <c r="T54" s="1"/>
      <c r="U54" s="1"/>
      <c r="V54" s="1"/>
      <c r="W54" s="1"/>
      <c r="X54" s="1"/>
      <c r="Y54" s="1"/>
      <c r="Z54" s="1"/>
      <c r="AA54" s="1"/>
      <c r="AB54" s="1"/>
    </row>
    <row r="55" spans="1:28" ht="12" customHeight="1">
      <c r="A55" s="24" t="str">
        <f>IF($D$10=0,"-",IF($D$9/$D$10=500,100,IF($D$9/$D$10&lt;=1000,100,IF($D$9/$D$10&lt;=2000,200,500))))</f>
        <v>-</v>
      </c>
      <c r="B55" s="282" t="str">
        <f t="shared" ref="B55:B61" si="17">IF($D$10=0," ",A55*$D$10)</f>
        <v xml:space="preserve"> </v>
      </c>
      <c r="C55" s="220"/>
      <c r="D55" s="38" t="str">
        <f t="shared" si="10"/>
        <v>-</v>
      </c>
      <c r="E55" s="285"/>
      <c r="F55" s="216"/>
      <c r="G55" s="321"/>
      <c r="H55" s="216"/>
      <c r="I55" s="270" t="str">
        <f t="shared" si="11"/>
        <v xml:space="preserve"> </v>
      </c>
      <c r="J55" s="220"/>
      <c r="K55" s="82">
        <f t="shared" si="12"/>
        <v>0</v>
      </c>
      <c r="L55" s="26">
        <f t="shared" si="13"/>
        <v>1.5</v>
      </c>
      <c r="M55" s="231" t="str">
        <f t="shared" si="14"/>
        <v xml:space="preserve"> </v>
      </c>
      <c r="N55" s="220"/>
      <c r="O55" s="27" t="str">
        <f t="shared" si="15"/>
        <v xml:space="preserve"> </v>
      </c>
      <c r="P55" s="307" t="str">
        <f t="shared" si="16"/>
        <v xml:space="preserve"> </v>
      </c>
      <c r="Q55" s="220"/>
      <c r="R55" s="1"/>
      <c r="S55" s="1"/>
      <c r="T55" s="1"/>
      <c r="U55" s="1"/>
      <c r="V55" s="1"/>
      <c r="W55" s="1"/>
      <c r="X55" s="1"/>
      <c r="Y55" s="1"/>
      <c r="Z55" s="1"/>
      <c r="AA55" s="1"/>
      <c r="AB55" s="1"/>
    </row>
    <row r="56" spans="1:28" ht="12" customHeight="1">
      <c r="A56" s="24" t="str">
        <f>IF($D$10=0,"-",IF($D$9/$D$10=500,200,IF($D$9/$D$10&lt;=1000,200,IF($D$9/$D$10&lt;=2000,500,1000))))</f>
        <v>-</v>
      </c>
      <c r="B56" s="282" t="str">
        <f t="shared" si="17"/>
        <v xml:space="preserve"> </v>
      </c>
      <c r="C56" s="220"/>
      <c r="D56" s="38" t="str">
        <f t="shared" si="10"/>
        <v>-</v>
      </c>
      <c r="E56" s="285"/>
      <c r="F56" s="216"/>
      <c r="G56" s="321"/>
      <c r="H56" s="216"/>
      <c r="I56" s="270" t="str">
        <f t="shared" si="11"/>
        <v xml:space="preserve"> </v>
      </c>
      <c r="J56" s="220"/>
      <c r="K56" s="82">
        <f t="shared" si="12"/>
        <v>0</v>
      </c>
      <c r="L56" s="26">
        <f t="shared" si="13"/>
        <v>1.5</v>
      </c>
      <c r="M56" s="231" t="str">
        <f t="shared" si="14"/>
        <v xml:space="preserve"> </v>
      </c>
      <c r="N56" s="220"/>
      <c r="O56" s="27" t="str">
        <f t="shared" si="15"/>
        <v xml:space="preserve"> </v>
      </c>
      <c r="P56" s="307" t="str">
        <f t="shared" si="16"/>
        <v xml:space="preserve"> </v>
      </c>
      <c r="Q56" s="220"/>
      <c r="R56" s="1"/>
      <c r="S56" s="1"/>
      <c r="T56" s="1"/>
      <c r="U56" s="1"/>
      <c r="V56" s="1"/>
      <c r="W56" s="1"/>
      <c r="X56" s="1"/>
      <c r="Y56" s="1"/>
      <c r="Z56" s="1"/>
      <c r="AA56" s="1"/>
      <c r="AB56" s="1"/>
    </row>
    <row r="57" spans="1:28" ht="12" customHeight="1">
      <c r="A57" s="24" t="str">
        <f>IF($D$10=0,"-",IF($D$9/$D$10=500,300,IF($D$9/$D$10&lt;=1000,500,IF($D$9/$D$10&lt;=2000,1000,2000))))</f>
        <v>-</v>
      </c>
      <c r="B57" s="282" t="str">
        <f t="shared" si="17"/>
        <v xml:space="preserve"> </v>
      </c>
      <c r="C57" s="220"/>
      <c r="D57" s="38" t="str">
        <f t="shared" si="10"/>
        <v>-</v>
      </c>
      <c r="E57" s="285"/>
      <c r="F57" s="216"/>
      <c r="G57" s="321"/>
      <c r="H57" s="216"/>
      <c r="I57" s="270" t="str">
        <f t="shared" si="11"/>
        <v xml:space="preserve"> </v>
      </c>
      <c r="J57" s="220"/>
      <c r="K57" s="82">
        <f t="shared" si="12"/>
        <v>0</v>
      </c>
      <c r="L57" s="26">
        <f t="shared" si="13"/>
        <v>1.5</v>
      </c>
      <c r="M57" s="231" t="str">
        <f t="shared" si="14"/>
        <v xml:space="preserve"> </v>
      </c>
      <c r="N57" s="220"/>
      <c r="O57" s="27" t="str">
        <f t="shared" si="15"/>
        <v xml:space="preserve"> </v>
      </c>
      <c r="P57" s="307" t="str">
        <f t="shared" si="16"/>
        <v xml:space="preserve"> </v>
      </c>
      <c r="Q57" s="220"/>
      <c r="R57" s="1"/>
      <c r="S57" s="1"/>
      <c r="T57" s="1"/>
      <c r="U57" s="1"/>
      <c r="V57" s="1"/>
      <c r="W57" s="1"/>
      <c r="X57" s="1"/>
      <c r="Y57" s="1"/>
      <c r="Z57" s="1"/>
      <c r="AA57" s="1"/>
      <c r="AB57" s="1"/>
    </row>
    <row r="58" spans="1:28" ht="12" customHeight="1">
      <c r="A58" s="24" t="str">
        <f>IF($D$10=0,"-",$D$9/$D$10)</f>
        <v>-</v>
      </c>
      <c r="B58" s="282" t="str">
        <f t="shared" si="17"/>
        <v xml:space="preserve"> </v>
      </c>
      <c r="C58" s="220"/>
      <c r="D58" s="38" t="str">
        <f t="shared" si="10"/>
        <v>-</v>
      </c>
      <c r="E58" s="285"/>
      <c r="F58" s="216"/>
      <c r="G58" s="321"/>
      <c r="H58" s="216"/>
      <c r="I58" s="270" t="str">
        <f t="shared" si="11"/>
        <v xml:space="preserve"> </v>
      </c>
      <c r="J58" s="220"/>
      <c r="K58" s="82">
        <f t="shared" si="12"/>
        <v>0</v>
      </c>
      <c r="L58" s="26">
        <f t="shared" si="13"/>
        <v>1.5</v>
      </c>
      <c r="M58" s="231" t="str">
        <f t="shared" si="14"/>
        <v xml:space="preserve"> </v>
      </c>
      <c r="N58" s="220"/>
      <c r="O58" s="27" t="str">
        <f t="shared" si="15"/>
        <v xml:space="preserve"> </v>
      </c>
      <c r="P58" s="307" t="str">
        <f t="shared" si="16"/>
        <v xml:space="preserve"> </v>
      </c>
      <c r="Q58" s="220"/>
      <c r="R58" s="1"/>
      <c r="S58" s="1"/>
      <c r="T58" s="1"/>
      <c r="U58" s="1"/>
      <c r="V58" s="1"/>
      <c r="W58" s="1"/>
      <c r="X58" s="1"/>
      <c r="Y58" s="1"/>
      <c r="Z58" s="1"/>
      <c r="AA58" s="1"/>
      <c r="AB58" s="1"/>
    </row>
    <row r="59" spans="1:28" ht="12" customHeight="1">
      <c r="A59" s="24" t="str">
        <f>IF($D$10=0,"-",IF($D$9/$D$10=500,300,IF($D$9/$D$10&lt;=1000,500,IF($D$9/$D$10&lt;=2000,1000,2000))))</f>
        <v>-</v>
      </c>
      <c r="B59" s="282" t="str">
        <f t="shared" si="17"/>
        <v xml:space="preserve"> </v>
      </c>
      <c r="C59" s="220"/>
      <c r="D59" s="38" t="str">
        <f t="shared" si="10"/>
        <v>-</v>
      </c>
      <c r="E59" s="283">
        <f>E57</f>
        <v>0</v>
      </c>
      <c r="F59" s="220"/>
      <c r="G59" s="321"/>
      <c r="H59" s="216"/>
      <c r="I59" s="270" t="str">
        <f t="shared" si="11"/>
        <v xml:space="preserve"> </v>
      </c>
      <c r="J59" s="220"/>
      <c r="K59" s="82">
        <f t="shared" si="12"/>
        <v>0</v>
      </c>
      <c r="L59" s="26">
        <f t="shared" si="13"/>
        <v>1.5</v>
      </c>
      <c r="M59" s="231" t="str">
        <f t="shared" si="14"/>
        <v xml:space="preserve"> </v>
      </c>
      <c r="N59" s="220"/>
      <c r="O59" s="27" t="str">
        <f t="shared" si="15"/>
        <v xml:space="preserve"> </v>
      </c>
      <c r="P59" s="307" t="str">
        <f t="shared" si="16"/>
        <v xml:space="preserve"> </v>
      </c>
      <c r="Q59" s="220"/>
      <c r="R59" s="1"/>
      <c r="S59" s="1"/>
      <c r="T59" s="1"/>
      <c r="U59" s="1"/>
      <c r="V59" s="1"/>
      <c r="W59" s="1"/>
      <c r="X59" s="1"/>
      <c r="Y59" s="1"/>
      <c r="Z59" s="1"/>
      <c r="AA59" s="1"/>
      <c r="AB59" s="1"/>
    </row>
    <row r="60" spans="1:28" ht="12" customHeight="1">
      <c r="A60" s="24" t="str">
        <f>IF($D$10=0,"-",IF($D$9/$D$10=500,200,IF($D$9/$D$10&lt;=1000,200,IF($D$9/$D$10&lt;=2000,500,1000))))</f>
        <v>-</v>
      </c>
      <c r="B60" s="282" t="str">
        <f t="shared" si="17"/>
        <v xml:space="preserve"> </v>
      </c>
      <c r="C60" s="220"/>
      <c r="D60" s="38" t="str">
        <f t="shared" si="10"/>
        <v>-</v>
      </c>
      <c r="E60" s="283">
        <f>E56</f>
        <v>0</v>
      </c>
      <c r="F60" s="220"/>
      <c r="G60" s="321"/>
      <c r="H60" s="216"/>
      <c r="I60" s="270" t="str">
        <f t="shared" si="11"/>
        <v xml:space="preserve"> </v>
      </c>
      <c r="J60" s="220"/>
      <c r="K60" s="82">
        <f t="shared" si="12"/>
        <v>0</v>
      </c>
      <c r="L60" s="26">
        <f t="shared" si="13"/>
        <v>1.5</v>
      </c>
      <c r="M60" s="231" t="str">
        <f t="shared" si="14"/>
        <v xml:space="preserve"> </v>
      </c>
      <c r="N60" s="220"/>
      <c r="O60" s="27" t="str">
        <f t="shared" si="15"/>
        <v xml:space="preserve"> </v>
      </c>
      <c r="P60" s="307" t="str">
        <f t="shared" si="16"/>
        <v xml:space="preserve"> </v>
      </c>
      <c r="Q60" s="220"/>
      <c r="R60" s="1"/>
      <c r="S60" s="1"/>
      <c r="T60" s="1"/>
      <c r="U60" s="1"/>
      <c r="V60" s="1"/>
      <c r="W60" s="1"/>
      <c r="X60" s="1"/>
      <c r="Y60" s="1"/>
      <c r="Z60" s="1"/>
      <c r="AA60" s="1"/>
      <c r="AB60" s="1"/>
    </row>
    <row r="61" spans="1:28" ht="12" customHeight="1">
      <c r="A61" s="24" t="str">
        <f>IF($D$10=0,"-",IF($D$9/$D$10=500,100,IF($D$9/$D$10&lt;=1000,100,IF($D$9/$D$10&lt;=2000,200,500))))</f>
        <v>-</v>
      </c>
      <c r="B61" s="282" t="str">
        <f t="shared" si="17"/>
        <v xml:space="preserve"> </v>
      </c>
      <c r="C61" s="220"/>
      <c r="D61" s="38" t="str">
        <f t="shared" si="10"/>
        <v>-</v>
      </c>
      <c r="E61" s="283">
        <f>E55</f>
        <v>0</v>
      </c>
      <c r="F61" s="220"/>
      <c r="G61" s="321"/>
      <c r="H61" s="216"/>
      <c r="I61" s="270" t="str">
        <f t="shared" si="11"/>
        <v xml:space="preserve"> </v>
      </c>
      <c r="J61" s="220"/>
      <c r="K61" s="82">
        <f t="shared" si="12"/>
        <v>0</v>
      </c>
      <c r="L61" s="26">
        <f t="shared" si="13"/>
        <v>1.5</v>
      </c>
      <c r="M61" s="231" t="str">
        <f t="shared" si="14"/>
        <v xml:space="preserve"> </v>
      </c>
      <c r="N61" s="220"/>
      <c r="O61" s="27" t="str">
        <f t="shared" si="15"/>
        <v xml:space="preserve"> </v>
      </c>
      <c r="P61" s="307" t="str">
        <f t="shared" si="16"/>
        <v xml:space="preserve"> </v>
      </c>
      <c r="Q61" s="220"/>
      <c r="R61" s="1"/>
      <c r="S61" s="1"/>
      <c r="T61" s="1"/>
      <c r="U61" s="1"/>
      <c r="V61" s="1"/>
      <c r="W61" s="1"/>
      <c r="X61" s="1"/>
      <c r="Y61" s="1"/>
      <c r="Z61" s="1"/>
      <c r="AA61" s="1"/>
      <c r="AB61" s="1"/>
    </row>
    <row r="62" spans="1:28" ht="12" customHeight="1">
      <c r="A62" s="24">
        <v>20</v>
      </c>
      <c r="B62" s="282">
        <f>A62*$D$10</f>
        <v>0</v>
      </c>
      <c r="C62" s="220"/>
      <c r="D62" s="38" t="str">
        <f t="shared" si="10"/>
        <v>-</v>
      </c>
      <c r="E62" s="283">
        <f>E54</f>
        <v>0</v>
      </c>
      <c r="F62" s="220"/>
      <c r="G62" s="321"/>
      <c r="H62" s="216"/>
      <c r="I62" s="270" t="str">
        <f t="shared" si="11"/>
        <v xml:space="preserve"> </v>
      </c>
      <c r="J62" s="220"/>
      <c r="K62" s="82">
        <f t="shared" si="12"/>
        <v>0</v>
      </c>
      <c r="L62" s="26">
        <f t="shared" si="13"/>
        <v>1.5</v>
      </c>
      <c r="M62" s="231" t="str">
        <f t="shared" si="14"/>
        <v xml:space="preserve"> </v>
      </c>
      <c r="N62" s="220"/>
      <c r="O62" s="27" t="str">
        <f t="shared" si="15"/>
        <v xml:space="preserve"> </v>
      </c>
      <c r="P62" s="307" t="str">
        <f t="shared" si="16"/>
        <v xml:space="preserve"> </v>
      </c>
      <c r="Q62" s="220"/>
      <c r="R62" s="1"/>
      <c r="S62" s="1"/>
      <c r="T62" s="1"/>
      <c r="U62" s="1"/>
      <c r="V62" s="1"/>
      <c r="W62" s="1"/>
      <c r="X62" s="1"/>
      <c r="Y62" s="1"/>
      <c r="Z62" s="1"/>
      <c r="AA62" s="1"/>
      <c r="AB62" s="1"/>
    </row>
    <row r="63" spans="1:28" ht="12" customHeight="1">
      <c r="A63" s="28"/>
      <c r="B63" s="31"/>
      <c r="C63" s="32"/>
      <c r="D63" s="1"/>
      <c r="E63" s="1"/>
      <c r="F63" s="1"/>
      <c r="G63" s="1"/>
      <c r="H63" s="1"/>
      <c r="I63" s="1"/>
      <c r="J63" s="1"/>
      <c r="K63" s="93"/>
      <c r="L63" s="93"/>
      <c r="M63" s="1"/>
      <c r="N63" s="3" t="str">
        <f>IF($D$13="English","Test passed?","Test bestanden?")</f>
        <v>Test passed?</v>
      </c>
      <c r="O63" s="27" t="str">
        <f>IF(AND(O54="Y",O55= "Y", O56="Y",O57="Y",O58="Y",O59="Y",O60="Y",O61="Y",O62="Y"),"Y","N")</f>
        <v>N</v>
      </c>
      <c r="P63" s="1"/>
      <c r="Q63" s="1"/>
      <c r="R63" s="1"/>
      <c r="S63" s="1"/>
      <c r="T63" s="1"/>
      <c r="U63" s="1"/>
      <c r="V63" s="1"/>
      <c r="W63" s="1"/>
      <c r="X63" s="1"/>
      <c r="Y63" s="1"/>
      <c r="Z63" s="1"/>
      <c r="AA63" s="1"/>
      <c r="AB63" s="1"/>
    </row>
    <row r="64" spans="1:28" ht="12" customHeight="1">
      <c r="A64" s="48"/>
      <c r="B64" s="31"/>
      <c r="C64" s="32"/>
      <c r="D64" s="1"/>
      <c r="E64" s="1"/>
      <c r="F64" s="1"/>
      <c r="G64" s="1"/>
      <c r="H64" s="1"/>
      <c r="I64" s="1"/>
      <c r="J64" s="1"/>
      <c r="M64" s="1"/>
      <c r="N64" s="1"/>
      <c r="O64" s="6"/>
      <c r="P64" s="1"/>
      <c r="Q64" s="1"/>
      <c r="R64" s="1"/>
      <c r="S64" s="1"/>
      <c r="T64" s="1"/>
      <c r="U64" s="1"/>
      <c r="V64" s="1"/>
      <c r="W64" s="1"/>
      <c r="X64" s="1"/>
      <c r="Y64" s="1"/>
      <c r="Z64" s="1"/>
      <c r="AA64" s="1"/>
      <c r="AB64" s="1"/>
    </row>
    <row r="65" spans="1:28" ht="12" customHeight="1">
      <c r="A65" s="257" t="str">
        <f>IF($D$13="English","If the maximum calculated error in Weighing Test is less or equal to 0,5e, no additional Tare Test has to be performed. ","Wenn der kalkulierte maximale Fehler im Linearitätstest kleiner oder gleich 0,5e ist, muss kein zusätzlich Tara Test durchgeführt werden. ")</f>
        <v xml:space="preserve">If the maximum calculated error in Weighing Test is less or equal to 0,5e, no additional Tare Test has to be performed. </v>
      </c>
      <c r="B65" s="237"/>
      <c r="C65" s="237"/>
      <c r="D65" s="237"/>
      <c r="E65" s="237"/>
      <c r="F65" s="237"/>
      <c r="G65" s="237"/>
      <c r="H65" s="237"/>
      <c r="I65" s="237"/>
      <c r="J65" s="237"/>
      <c r="K65" s="237"/>
      <c r="L65" s="237"/>
      <c r="M65" s="237"/>
      <c r="N65" s="237"/>
      <c r="O65" s="237"/>
      <c r="P65" s="237"/>
      <c r="Q65" s="1"/>
      <c r="R65" s="1"/>
      <c r="S65" s="1"/>
      <c r="T65" s="1"/>
      <c r="U65" s="1"/>
      <c r="V65" s="1"/>
      <c r="W65" s="1"/>
      <c r="X65" s="1"/>
      <c r="Y65" s="1"/>
      <c r="Z65" s="1"/>
      <c r="AA65" s="1"/>
      <c r="AB65" s="1"/>
    </row>
    <row r="66" spans="1:28" ht="12" customHeight="1">
      <c r="A66" s="237"/>
      <c r="B66" s="237"/>
      <c r="C66" s="237"/>
      <c r="D66" s="237"/>
      <c r="E66" s="237"/>
      <c r="F66" s="237"/>
      <c r="G66" s="237"/>
      <c r="H66" s="237"/>
      <c r="I66" s="237"/>
      <c r="J66" s="237"/>
      <c r="K66" s="237"/>
      <c r="L66" s="237"/>
      <c r="M66" s="237"/>
      <c r="N66" s="237"/>
      <c r="O66" s="237"/>
      <c r="P66" s="237"/>
      <c r="Q66" s="1"/>
      <c r="R66" s="1"/>
      <c r="S66" s="1"/>
      <c r="T66" s="1"/>
      <c r="U66" s="1"/>
      <c r="V66" s="1"/>
      <c r="W66" s="1"/>
      <c r="X66" s="1"/>
      <c r="Y66" s="1"/>
      <c r="Z66" s="1"/>
      <c r="AA66" s="1"/>
      <c r="AB66" s="1"/>
    </row>
    <row r="67" spans="1:28" ht="12" customHeight="1">
      <c r="A67" s="48" t="str">
        <f>IF($D$13="English","Does Test 5 have to be performed? ","Muss Test 5 durchgeführt werden? ")</f>
        <v xml:space="preserve">Does Test 5 have to be performed? </v>
      </c>
      <c r="B67" s="39"/>
      <c r="C67" s="39"/>
      <c r="D67" s="39"/>
      <c r="E67" s="39"/>
      <c r="F67" s="27" t="e">
        <f>IF(AND(ABS(M54)&lt;=0.5*$D$10,ABS(M55)&lt;=0.5*$D$10,ABS(M56)&lt;=0.5*$D$10,ABS(M57)&lt;=0.5*$D$10,ABS(M58)&lt;=0.5*$D$10,ABS(M59)&lt;=0.5*$D$10,ABS(M60)&lt;=0.5*$D$10,ABS(M61)&lt;=0.5*$D$10,ABS(M62)&lt;=0.5*$D$10),"N","Y")</f>
        <v>#VALUE!</v>
      </c>
      <c r="G67" s="39"/>
      <c r="H67" s="39"/>
      <c r="I67" s="39"/>
      <c r="J67" s="39"/>
      <c r="K67" s="39"/>
      <c r="L67" s="39"/>
      <c r="M67" s="39"/>
      <c r="N67" s="39"/>
      <c r="O67" s="39"/>
      <c r="P67" s="39"/>
      <c r="Q67" s="1"/>
      <c r="R67" s="1"/>
      <c r="S67" s="1"/>
      <c r="T67" s="1"/>
      <c r="U67" s="1"/>
      <c r="V67" s="1"/>
      <c r="W67" s="1"/>
      <c r="X67" s="1"/>
      <c r="Y67" s="1"/>
      <c r="Z67" s="1"/>
      <c r="AA67" s="1"/>
      <c r="AB67" s="1"/>
    </row>
    <row r="68" spans="1:28" ht="12" customHeight="1">
      <c r="A68" s="48"/>
      <c r="B68" s="39"/>
      <c r="C68" s="39"/>
      <c r="D68" s="39"/>
      <c r="E68" s="39"/>
      <c r="F68" s="39"/>
      <c r="G68" s="39"/>
      <c r="H68" s="39"/>
      <c r="I68" s="39"/>
      <c r="J68" s="39"/>
      <c r="K68" s="39"/>
      <c r="L68" s="39"/>
      <c r="M68" s="39"/>
      <c r="N68" s="39"/>
      <c r="O68" s="39"/>
      <c r="P68" s="39"/>
      <c r="Q68" s="1"/>
      <c r="R68" s="1"/>
      <c r="S68" s="1"/>
      <c r="T68" s="1"/>
      <c r="U68" s="1"/>
      <c r="V68" s="1"/>
      <c r="W68" s="1"/>
      <c r="X68" s="1"/>
      <c r="Y68" s="1"/>
      <c r="Z68" s="1"/>
      <c r="AA68" s="1"/>
      <c r="AB68" s="1"/>
    </row>
    <row r="69" spans="1:28" ht="12" customHeight="1">
      <c r="A69" s="39"/>
      <c r="B69" s="39"/>
      <c r="C69" s="39"/>
      <c r="D69" s="39"/>
      <c r="E69" s="39"/>
      <c r="F69" s="39"/>
      <c r="G69" s="39"/>
      <c r="H69" s="39"/>
      <c r="I69" s="39"/>
      <c r="J69" s="39"/>
      <c r="K69" s="39"/>
      <c r="L69" s="39"/>
      <c r="M69" s="39"/>
      <c r="N69" s="39"/>
      <c r="O69" s="39"/>
      <c r="P69" s="39"/>
      <c r="Q69" s="1"/>
      <c r="R69" s="1"/>
      <c r="S69" s="1"/>
      <c r="T69" s="1"/>
      <c r="U69" s="1"/>
      <c r="V69" s="1"/>
      <c r="W69" s="1"/>
      <c r="X69" s="1"/>
      <c r="Y69" s="1"/>
      <c r="Z69" s="1"/>
      <c r="AA69" s="1"/>
      <c r="AB69" s="1"/>
    </row>
    <row r="70" spans="1:28" ht="12" customHeight="1">
      <c r="A70" s="7" t="str">
        <f>IF($D$13="English","5.  Tare (Weighing Test) - Indicator in hi-res mode:","5. Tara (Richtigkeitsprüfung) - Indikator in Hi-Res-Modus:")</f>
        <v>5.  Tare (Weighing Test) - Indicator in hi-res mode:</v>
      </c>
      <c r="B70" s="50"/>
      <c r="C70" s="50"/>
      <c r="D70" s="50"/>
      <c r="E70" s="50"/>
      <c r="F70" s="50"/>
      <c r="G70" s="50"/>
      <c r="H70" s="1" t="str">
        <f>IF($D$13="English","accordance to EN45501-2015, A.4.6.1","gemäß EN45501-2015, A.4.6.1")</f>
        <v>accordance to EN45501-2015, A.4.6.1</v>
      </c>
      <c r="I70" s="50"/>
      <c r="J70" s="50"/>
      <c r="K70" s="50"/>
      <c r="L70" s="50"/>
      <c r="M70" s="50"/>
      <c r="N70" s="50"/>
      <c r="O70" s="50"/>
      <c r="P70" s="50"/>
      <c r="Q70" s="1"/>
      <c r="R70" s="1"/>
      <c r="S70" s="1"/>
      <c r="T70" s="1"/>
      <c r="U70" s="1"/>
      <c r="V70" s="1"/>
      <c r="W70" s="1"/>
      <c r="X70" s="1"/>
      <c r="Y70" s="1"/>
      <c r="Z70" s="1"/>
      <c r="AA70" s="1"/>
      <c r="AB70" s="1"/>
    </row>
    <row r="71" spans="1:28" ht="12" customHeight="1">
      <c r="A71" s="258" t="str">
        <f>IF($D$13="English","Tare a load between 1/3 Max and 2/3 Max and test up to Max.at 5 load points. Please test at the loads where mpe changes.","Last zwischen 1/3 und 2/3 Max tarieren und bis zur Maximallast bei 5 Lastpunkten prüfen. Bei den Lasten, bei denen sich mpe ändert, muss geprüft werden. ")</f>
        <v>Tare a load between 1/3 Max and 2/3 Max and test up to Max.at 5 load points. Please test at the loads where mpe changes.</v>
      </c>
      <c r="B71" s="237"/>
      <c r="C71" s="237"/>
      <c r="D71" s="237"/>
      <c r="E71" s="237"/>
      <c r="F71" s="237"/>
      <c r="G71" s="237"/>
      <c r="H71" s="237"/>
      <c r="I71" s="237"/>
      <c r="J71" s="237"/>
      <c r="K71" s="237"/>
      <c r="L71" s="237"/>
      <c r="M71" s="237"/>
      <c r="N71" s="237"/>
      <c r="O71" s="237"/>
      <c r="P71" s="237"/>
      <c r="Q71" s="1"/>
      <c r="R71" s="1"/>
      <c r="S71" s="1"/>
      <c r="T71" s="1"/>
      <c r="U71" s="1"/>
      <c r="V71" s="1"/>
      <c r="W71" s="1"/>
      <c r="X71" s="1"/>
      <c r="Y71" s="1"/>
      <c r="Z71" s="1"/>
      <c r="AA71" s="1"/>
      <c r="AB71" s="1"/>
    </row>
    <row r="72" spans="1:28" ht="12" customHeight="1">
      <c r="A72" s="237"/>
      <c r="B72" s="237"/>
      <c r="C72" s="237"/>
      <c r="D72" s="237"/>
      <c r="E72" s="237"/>
      <c r="F72" s="237"/>
      <c r="G72" s="237"/>
      <c r="H72" s="237"/>
      <c r="I72" s="237"/>
      <c r="J72" s="237"/>
      <c r="K72" s="237"/>
      <c r="L72" s="237"/>
      <c r="M72" s="237"/>
      <c r="N72" s="237"/>
      <c r="O72" s="237"/>
      <c r="P72" s="237"/>
      <c r="Q72" s="1"/>
      <c r="R72" s="1"/>
      <c r="S72" s="1"/>
      <c r="T72" s="1"/>
      <c r="U72" s="1"/>
      <c r="V72" s="1"/>
      <c r="W72" s="1"/>
      <c r="X72" s="1"/>
      <c r="Y72" s="1"/>
      <c r="Z72" s="1"/>
      <c r="AA72" s="1"/>
      <c r="AB72" s="1"/>
    </row>
    <row r="73" spans="1:28" ht="12" customHeight="1">
      <c r="A73" s="7" t="str">
        <f>IF($D$13="English","Tared load:","Tarierte Last:")</f>
        <v>Tared load:</v>
      </c>
      <c r="B73" s="31"/>
      <c r="C73" s="276"/>
      <c r="D73" s="216"/>
      <c r="E73" s="1" t="s">
        <v>33</v>
      </c>
      <c r="F73" s="1"/>
      <c r="G73" s="6"/>
      <c r="H73" s="1"/>
      <c r="J73" s="17"/>
      <c r="K73" s="1"/>
      <c r="L73" s="1"/>
      <c r="M73" s="1"/>
      <c r="N73" s="1"/>
      <c r="O73" s="1"/>
      <c r="P73" s="1"/>
      <c r="Q73" s="1"/>
      <c r="R73" s="1"/>
      <c r="S73" s="1"/>
      <c r="T73" s="1"/>
      <c r="U73" s="1"/>
      <c r="V73" s="1"/>
      <c r="W73" s="1"/>
      <c r="X73" s="1"/>
      <c r="Y73" s="1"/>
      <c r="Z73" s="1"/>
      <c r="AA73" s="1"/>
      <c r="AB73" s="1"/>
    </row>
    <row r="74" spans="1:28" ht="12" customHeight="1">
      <c r="A74" s="231" t="s">
        <v>26</v>
      </c>
      <c r="B74" s="223"/>
      <c r="C74" s="220"/>
      <c r="D74" s="19" t="s">
        <v>72</v>
      </c>
      <c r="E74" s="231" t="s">
        <v>27</v>
      </c>
      <c r="F74" s="220"/>
      <c r="G74" s="231" t="s">
        <v>73</v>
      </c>
      <c r="H74" s="220"/>
      <c r="I74" s="18" t="s">
        <v>29</v>
      </c>
      <c r="J74" s="21"/>
      <c r="K74" s="232" t="s">
        <v>115</v>
      </c>
      <c r="L74" s="223"/>
      <c r="M74" s="220"/>
      <c r="N74" s="19" t="s">
        <v>30</v>
      </c>
      <c r="O74" s="308" t="str">
        <f>IF($J$18="M","L calc"," ")</f>
        <v xml:space="preserve"> </v>
      </c>
      <c r="P74" s="220"/>
      <c r="Q74" s="1"/>
      <c r="R74" s="1"/>
      <c r="S74" s="1"/>
      <c r="T74" s="1"/>
      <c r="U74" s="1"/>
      <c r="V74" s="1"/>
      <c r="W74" s="1"/>
      <c r="X74" s="1"/>
      <c r="Y74" s="1"/>
      <c r="Z74" s="1"/>
      <c r="AA74" s="1"/>
      <c r="AB74" s="1"/>
    </row>
    <row r="75" spans="1:28" ht="12" customHeight="1">
      <c r="A75" s="259" t="s">
        <v>33</v>
      </c>
      <c r="B75" s="223"/>
      <c r="C75" s="220"/>
      <c r="D75" s="51"/>
      <c r="E75" s="231" t="s">
        <v>33</v>
      </c>
      <c r="F75" s="220"/>
      <c r="G75" s="256" t="s">
        <v>33</v>
      </c>
      <c r="H75" s="220"/>
      <c r="I75" s="52" t="s">
        <v>33</v>
      </c>
      <c r="J75" s="52" t="s">
        <v>32</v>
      </c>
      <c r="K75" s="231" t="s">
        <v>33</v>
      </c>
      <c r="L75" s="223"/>
      <c r="M75" s="223"/>
      <c r="N75" s="19" t="s">
        <v>34</v>
      </c>
      <c r="O75" s="308" t="str">
        <f>IF($J$18="M","[kg]"," ")</f>
        <v xml:space="preserve"> </v>
      </c>
      <c r="P75" s="220"/>
      <c r="Q75" s="1"/>
      <c r="R75" s="1"/>
      <c r="S75" s="1"/>
      <c r="T75" s="1"/>
      <c r="U75" s="1"/>
      <c r="V75" s="1"/>
      <c r="W75" s="1"/>
      <c r="X75" s="1"/>
      <c r="Y75" s="1"/>
      <c r="Z75" s="1"/>
      <c r="AA75" s="1"/>
      <c r="AB75" s="1"/>
    </row>
    <row r="76" spans="1:28" ht="12" customHeight="1">
      <c r="A76" s="293"/>
      <c r="B76" s="215"/>
      <c r="C76" s="216"/>
      <c r="D76" s="51" t="str">
        <f t="shared" ref="D76:D84" si="18">IF($D$10=0," ",A76/$D$10)</f>
        <v xml:space="preserve"> </v>
      </c>
      <c r="E76" s="320"/>
      <c r="F76" s="216"/>
      <c r="G76" s="270" t="str">
        <f t="shared" ref="G76:G84" si="19">IF(E76=0," ",IF($J$18="M",(E76-O76),(E76-A76)))</f>
        <v xml:space="preserve"> </v>
      </c>
      <c r="H76" s="220"/>
      <c r="I76" s="90" t="str">
        <f t="shared" ref="I76:I84" si="20">IF($D$9=0," ",J76*$D$10)</f>
        <v xml:space="preserve"> </v>
      </c>
      <c r="J76" s="26">
        <f t="shared" ref="J76:J84" si="21">IF(D76=0,0,IF(D76&lt;=500,0.5,(IF(D76&lt;=2000,1,IF(D76&gt;2000,1.5," ")))))</f>
        <v>1.5</v>
      </c>
      <c r="K76" s="270" t="str">
        <f t="shared" ref="K76:K84" si="22">IF(E76=0," ",IF($E$47=" "," ",ROUND(G76-$E$47,3)))</f>
        <v xml:space="preserve"> </v>
      </c>
      <c r="L76" s="223"/>
      <c r="M76" s="220"/>
      <c r="N76" s="27" t="str">
        <f t="shared" ref="N76:N84" si="23">IF(K76=" "," ",IF(ABS(K76)&lt;=I76,"Y","N"))</f>
        <v xml:space="preserve"> </v>
      </c>
      <c r="O76" s="307" t="str">
        <f t="shared" ref="O76:O84" si="24">IF($J$18="M",A76*(1-($K$21-$D$21)/$D$21)," ")</f>
        <v xml:space="preserve"> </v>
      </c>
      <c r="P76" s="220"/>
      <c r="Q76" s="1"/>
      <c r="R76" s="1"/>
      <c r="S76" s="1"/>
      <c r="T76" s="1"/>
      <c r="U76" s="1"/>
      <c r="V76" s="1"/>
      <c r="W76" s="1"/>
      <c r="X76" s="1"/>
      <c r="Y76" s="1"/>
      <c r="Z76" s="1"/>
      <c r="AA76" s="1"/>
      <c r="AB76" s="1"/>
    </row>
    <row r="77" spans="1:28" ht="12" customHeight="1">
      <c r="A77" s="293"/>
      <c r="B77" s="215"/>
      <c r="C77" s="216"/>
      <c r="D77" s="51" t="str">
        <f t="shared" si="18"/>
        <v xml:space="preserve"> </v>
      </c>
      <c r="E77" s="320"/>
      <c r="F77" s="216"/>
      <c r="G77" s="270" t="str">
        <f t="shared" si="19"/>
        <v xml:space="preserve"> </v>
      </c>
      <c r="H77" s="220"/>
      <c r="I77" s="90" t="str">
        <f t="shared" si="20"/>
        <v xml:space="preserve"> </v>
      </c>
      <c r="J77" s="26">
        <f t="shared" si="21"/>
        <v>1.5</v>
      </c>
      <c r="K77" s="270" t="str">
        <f t="shared" si="22"/>
        <v xml:space="preserve"> </v>
      </c>
      <c r="L77" s="223"/>
      <c r="M77" s="220"/>
      <c r="N77" s="27" t="str">
        <f t="shared" si="23"/>
        <v xml:space="preserve"> </v>
      </c>
      <c r="O77" s="307" t="str">
        <f t="shared" si="24"/>
        <v xml:space="preserve"> </v>
      </c>
      <c r="P77" s="220"/>
      <c r="Q77" s="1"/>
      <c r="R77" s="1"/>
      <c r="S77" s="1"/>
      <c r="T77" s="1"/>
      <c r="U77" s="1"/>
      <c r="V77" s="1"/>
      <c r="W77" s="1"/>
      <c r="X77" s="1"/>
      <c r="Y77" s="1"/>
      <c r="Z77" s="1"/>
      <c r="AA77" s="1"/>
      <c r="AB77" s="1"/>
    </row>
    <row r="78" spans="1:28" ht="12" customHeight="1">
      <c r="A78" s="293"/>
      <c r="B78" s="215"/>
      <c r="C78" s="216"/>
      <c r="D78" s="51" t="str">
        <f t="shared" si="18"/>
        <v xml:space="preserve"> </v>
      </c>
      <c r="E78" s="320"/>
      <c r="F78" s="216"/>
      <c r="G78" s="270" t="str">
        <f t="shared" si="19"/>
        <v xml:space="preserve"> </v>
      </c>
      <c r="H78" s="220"/>
      <c r="I78" s="90" t="str">
        <f t="shared" si="20"/>
        <v xml:space="preserve"> </v>
      </c>
      <c r="J78" s="26">
        <f t="shared" si="21"/>
        <v>1.5</v>
      </c>
      <c r="K78" s="270" t="str">
        <f t="shared" si="22"/>
        <v xml:space="preserve"> </v>
      </c>
      <c r="L78" s="223"/>
      <c r="M78" s="220"/>
      <c r="N78" s="27" t="str">
        <f t="shared" si="23"/>
        <v xml:space="preserve"> </v>
      </c>
      <c r="O78" s="307" t="str">
        <f t="shared" si="24"/>
        <v xml:space="preserve"> </v>
      </c>
      <c r="P78" s="220"/>
      <c r="Q78" s="1"/>
      <c r="R78" s="1"/>
      <c r="S78" s="1"/>
      <c r="T78" s="1"/>
      <c r="U78" s="1"/>
      <c r="V78" s="1"/>
      <c r="W78" s="1"/>
      <c r="X78" s="1"/>
      <c r="Y78" s="1"/>
      <c r="Z78" s="1"/>
      <c r="AA78" s="1"/>
      <c r="AB78" s="1"/>
    </row>
    <row r="79" spans="1:28" ht="12" customHeight="1">
      <c r="A79" s="293"/>
      <c r="B79" s="215"/>
      <c r="C79" s="216"/>
      <c r="D79" s="51" t="str">
        <f t="shared" si="18"/>
        <v xml:space="preserve"> </v>
      </c>
      <c r="E79" s="320"/>
      <c r="F79" s="216"/>
      <c r="G79" s="270" t="str">
        <f t="shared" si="19"/>
        <v xml:space="preserve"> </v>
      </c>
      <c r="H79" s="220"/>
      <c r="I79" s="90" t="str">
        <f t="shared" si="20"/>
        <v xml:space="preserve"> </v>
      </c>
      <c r="J79" s="26">
        <f t="shared" si="21"/>
        <v>1.5</v>
      </c>
      <c r="K79" s="270" t="str">
        <f t="shared" si="22"/>
        <v xml:space="preserve"> </v>
      </c>
      <c r="L79" s="223"/>
      <c r="M79" s="220"/>
      <c r="N79" s="27" t="str">
        <f t="shared" si="23"/>
        <v xml:space="preserve"> </v>
      </c>
      <c r="O79" s="307" t="str">
        <f t="shared" si="24"/>
        <v xml:space="preserve"> </v>
      </c>
      <c r="P79" s="220"/>
      <c r="Q79" s="1"/>
      <c r="R79" s="1"/>
      <c r="S79" s="1"/>
      <c r="T79" s="1"/>
      <c r="U79" s="1"/>
      <c r="V79" s="1"/>
      <c r="W79" s="1"/>
      <c r="X79" s="1"/>
      <c r="Y79" s="1"/>
      <c r="Z79" s="1"/>
      <c r="AA79" s="1"/>
      <c r="AB79" s="1"/>
    </row>
    <row r="80" spans="1:28" ht="12" customHeight="1">
      <c r="A80" s="293"/>
      <c r="B80" s="215"/>
      <c r="C80" s="216"/>
      <c r="D80" s="51" t="str">
        <f t="shared" si="18"/>
        <v xml:space="preserve"> </v>
      </c>
      <c r="E80" s="320"/>
      <c r="F80" s="216"/>
      <c r="G80" s="270" t="str">
        <f t="shared" si="19"/>
        <v xml:space="preserve"> </v>
      </c>
      <c r="H80" s="220"/>
      <c r="I80" s="90" t="str">
        <f t="shared" si="20"/>
        <v xml:space="preserve"> </v>
      </c>
      <c r="J80" s="26">
        <f t="shared" si="21"/>
        <v>1.5</v>
      </c>
      <c r="K80" s="270" t="str">
        <f t="shared" si="22"/>
        <v xml:space="preserve"> </v>
      </c>
      <c r="L80" s="223"/>
      <c r="M80" s="220"/>
      <c r="N80" s="27" t="str">
        <f t="shared" si="23"/>
        <v xml:space="preserve"> </v>
      </c>
      <c r="O80" s="307" t="str">
        <f t="shared" si="24"/>
        <v xml:space="preserve"> </v>
      </c>
      <c r="P80" s="220"/>
      <c r="Q80" s="1"/>
      <c r="R80" s="1"/>
      <c r="S80" s="1"/>
      <c r="T80" s="1"/>
      <c r="U80" s="1"/>
      <c r="V80" s="1"/>
      <c r="W80" s="1"/>
      <c r="X80" s="1"/>
      <c r="Y80" s="1"/>
      <c r="Z80" s="1"/>
      <c r="AA80" s="1"/>
      <c r="AB80" s="1"/>
    </row>
    <row r="81" spans="1:28" ht="12" customHeight="1">
      <c r="A81" s="319">
        <f>A79</f>
        <v>0</v>
      </c>
      <c r="B81" s="223"/>
      <c r="C81" s="220"/>
      <c r="D81" s="51" t="str">
        <f t="shared" si="18"/>
        <v xml:space="preserve"> </v>
      </c>
      <c r="E81" s="320"/>
      <c r="F81" s="216"/>
      <c r="G81" s="270" t="str">
        <f t="shared" si="19"/>
        <v xml:space="preserve"> </v>
      </c>
      <c r="H81" s="220"/>
      <c r="I81" s="90" t="str">
        <f t="shared" si="20"/>
        <v xml:space="preserve"> </v>
      </c>
      <c r="J81" s="26">
        <f t="shared" si="21"/>
        <v>1.5</v>
      </c>
      <c r="K81" s="270" t="str">
        <f t="shared" si="22"/>
        <v xml:space="preserve"> </v>
      </c>
      <c r="L81" s="223"/>
      <c r="M81" s="220"/>
      <c r="N81" s="27" t="str">
        <f t="shared" si="23"/>
        <v xml:space="preserve"> </v>
      </c>
      <c r="O81" s="307" t="str">
        <f t="shared" si="24"/>
        <v xml:space="preserve"> </v>
      </c>
      <c r="P81" s="220"/>
      <c r="Q81" s="17"/>
      <c r="R81" s="17"/>
      <c r="S81" s="1"/>
      <c r="T81" s="1"/>
      <c r="U81" s="1"/>
      <c r="V81" s="1"/>
      <c r="W81" s="1"/>
      <c r="X81" s="1"/>
      <c r="Y81" s="1"/>
      <c r="Z81" s="1"/>
      <c r="AA81" s="1"/>
      <c r="AB81" s="1"/>
    </row>
    <row r="82" spans="1:28" ht="12" customHeight="1">
      <c r="A82" s="319">
        <f>A78</f>
        <v>0</v>
      </c>
      <c r="B82" s="223"/>
      <c r="C82" s="220"/>
      <c r="D82" s="51" t="str">
        <f t="shared" si="18"/>
        <v xml:space="preserve"> </v>
      </c>
      <c r="E82" s="320"/>
      <c r="F82" s="216"/>
      <c r="G82" s="270" t="str">
        <f t="shared" si="19"/>
        <v xml:space="preserve"> </v>
      </c>
      <c r="H82" s="220"/>
      <c r="I82" s="90" t="str">
        <f t="shared" si="20"/>
        <v xml:space="preserve"> </v>
      </c>
      <c r="J82" s="26">
        <f t="shared" si="21"/>
        <v>1.5</v>
      </c>
      <c r="K82" s="270" t="str">
        <f t="shared" si="22"/>
        <v xml:space="preserve"> </v>
      </c>
      <c r="L82" s="223"/>
      <c r="M82" s="220"/>
      <c r="N82" s="27" t="str">
        <f t="shared" si="23"/>
        <v xml:space="preserve"> </v>
      </c>
      <c r="O82" s="307" t="str">
        <f t="shared" si="24"/>
        <v xml:space="preserve"> </v>
      </c>
      <c r="P82" s="220"/>
      <c r="Q82" s="17"/>
      <c r="R82" s="17"/>
      <c r="S82" s="1"/>
      <c r="T82" s="1"/>
      <c r="U82" s="1"/>
      <c r="V82" s="1"/>
      <c r="W82" s="1"/>
      <c r="X82" s="1"/>
      <c r="Y82" s="1"/>
      <c r="Z82" s="1"/>
      <c r="AA82" s="1"/>
      <c r="AB82" s="1"/>
    </row>
    <row r="83" spans="1:28" ht="12" customHeight="1">
      <c r="A83" s="319">
        <f>A77</f>
        <v>0</v>
      </c>
      <c r="B83" s="223"/>
      <c r="C83" s="220"/>
      <c r="D83" s="51" t="str">
        <f t="shared" si="18"/>
        <v xml:space="preserve"> </v>
      </c>
      <c r="E83" s="320"/>
      <c r="F83" s="216"/>
      <c r="G83" s="270" t="str">
        <f t="shared" si="19"/>
        <v xml:space="preserve"> </v>
      </c>
      <c r="H83" s="220"/>
      <c r="I83" s="90" t="str">
        <f t="shared" si="20"/>
        <v xml:space="preserve"> </v>
      </c>
      <c r="J83" s="26">
        <f t="shared" si="21"/>
        <v>1.5</v>
      </c>
      <c r="K83" s="270" t="str">
        <f t="shared" si="22"/>
        <v xml:space="preserve"> </v>
      </c>
      <c r="L83" s="223"/>
      <c r="M83" s="220"/>
      <c r="N83" s="27" t="str">
        <f t="shared" si="23"/>
        <v xml:space="preserve"> </v>
      </c>
      <c r="O83" s="307" t="str">
        <f t="shared" si="24"/>
        <v xml:space="preserve"> </v>
      </c>
      <c r="P83" s="220"/>
      <c r="Q83" s="17"/>
      <c r="R83" s="17"/>
      <c r="S83" s="1"/>
      <c r="T83" s="1"/>
      <c r="U83" s="1"/>
      <c r="V83" s="1"/>
      <c r="W83" s="1"/>
      <c r="X83" s="1"/>
      <c r="Y83" s="1"/>
      <c r="Z83" s="1"/>
      <c r="AA83" s="1"/>
      <c r="AB83" s="1"/>
    </row>
    <row r="84" spans="1:28" ht="12" customHeight="1">
      <c r="A84" s="319">
        <f>A76</f>
        <v>0</v>
      </c>
      <c r="B84" s="223"/>
      <c r="C84" s="220"/>
      <c r="D84" s="51" t="str">
        <f t="shared" si="18"/>
        <v xml:space="preserve"> </v>
      </c>
      <c r="E84" s="320"/>
      <c r="F84" s="216"/>
      <c r="G84" s="270" t="str">
        <f t="shared" si="19"/>
        <v xml:space="preserve"> </v>
      </c>
      <c r="H84" s="220"/>
      <c r="I84" s="90" t="str">
        <f t="shared" si="20"/>
        <v xml:space="preserve"> </v>
      </c>
      <c r="J84" s="26">
        <f t="shared" si="21"/>
        <v>1.5</v>
      </c>
      <c r="K84" s="270" t="str">
        <f t="shared" si="22"/>
        <v xml:space="preserve"> </v>
      </c>
      <c r="L84" s="223"/>
      <c r="M84" s="220"/>
      <c r="N84" s="27" t="str">
        <f t="shared" si="23"/>
        <v xml:space="preserve"> </v>
      </c>
      <c r="O84" s="307" t="str">
        <f t="shared" si="24"/>
        <v xml:space="preserve"> </v>
      </c>
      <c r="P84" s="220"/>
      <c r="Q84" s="17"/>
      <c r="R84" s="17"/>
      <c r="S84" s="1"/>
      <c r="T84" s="1"/>
      <c r="U84" s="1"/>
      <c r="V84" s="1"/>
      <c r="W84" s="1"/>
      <c r="X84" s="1"/>
      <c r="Y84" s="1"/>
      <c r="Z84" s="1"/>
      <c r="AA84" s="1"/>
      <c r="AB84" s="1"/>
    </row>
    <row r="85" spans="1:28" ht="12" customHeight="1">
      <c r="A85" s="1"/>
      <c r="B85" s="53"/>
      <c r="C85" s="40"/>
      <c r="D85" s="1"/>
      <c r="E85" s="1"/>
      <c r="F85" s="1"/>
      <c r="G85" s="31"/>
      <c r="H85" s="31"/>
      <c r="I85" s="1"/>
      <c r="J85" s="1"/>
      <c r="K85" s="1"/>
      <c r="L85" s="54"/>
      <c r="M85" s="6" t="str">
        <f>IF($D$13="English","Test passed?","Test bestanden?")</f>
        <v>Test passed?</v>
      </c>
      <c r="N85" s="27" t="str">
        <f>IF(AND(N76="Y",N77="Y",N78="Y",N79="Y",N80="Y",N81="Y",N82="Y",N83="Y",N84="Y"),"Y","N")</f>
        <v>N</v>
      </c>
      <c r="O85" s="17"/>
      <c r="P85" s="1"/>
      <c r="Q85" s="1"/>
      <c r="R85" s="1"/>
      <c r="S85" s="1"/>
      <c r="T85" s="1"/>
      <c r="U85" s="1"/>
      <c r="V85" s="1"/>
      <c r="W85" s="1"/>
      <c r="X85" s="1"/>
      <c r="Y85" s="1"/>
      <c r="Z85" s="1"/>
      <c r="AA85" s="1"/>
      <c r="AB85" s="1"/>
    </row>
    <row r="86" spans="1:28" ht="12" customHeight="1">
      <c r="A86" s="47"/>
      <c r="B86" s="50"/>
      <c r="C86" s="50"/>
      <c r="D86" s="50"/>
      <c r="E86" s="50"/>
      <c r="F86" s="50"/>
      <c r="G86" s="50"/>
      <c r="H86" s="50"/>
      <c r="I86" s="50"/>
      <c r="J86" s="50"/>
      <c r="K86" s="50"/>
      <c r="L86" s="50"/>
      <c r="M86" s="50"/>
      <c r="N86" s="50"/>
      <c r="O86" s="50"/>
      <c r="P86" s="50"/>
      <c r="Q86" s="1"/>
      <c r="R86" s="1"/>
      <c r="S86" s="1"/>
      <c r="T86" s="1"/>
      <c r="U86" s="1"/>
      <c r="V86" s="1"/>
      <c r="W86" s="1"/>
      <c r="X86" s="1"/>
      <c r="Y86" s="1"/>
      <c r="Z86" s="1"/>
      <c r="AA86" s="1"/>
      <c r="AB86" s="1"/>
    </row>
    <row r="87" spans="1:28" ht="12" customHeight="1">
      <c r="A87" s="7" t="str">
        <f>IF($D$13="English","6.  Eccentricity Test (Indicator in hi-res mode)","6.  Prüfung bei Außermittiger Belastung (Indicator in hi-res mode)")</f>
        <v>6.  Eccentricity Test (Indicator in hi-res mode)</v>
      </c>
      <c r="B87" s="1"/>
      <c r="C87" s="6"/>
      <c r="D87" s="8"/>
      <c r="E87" s="8"/>
      <c r="F87" s="1"/>
      <c r="G87" s="1"/>
      <c r="H87" s="1" t="str">
        <f>IF($D$13="English","accordance to EN45501-2015, A.4.7","gemäß EN45501-2015, A.4.7")</f>
        <v>accordance to EN45501-2015, A.4.7</v>
      </c>
      <c r="I87" s="1"/>
      <c r="J87" s="1"/>
      <c r="K87" s="6"/>
      <c r="L87" s="6"/>
      <c r="M87" s="6"/>
      <c r="N87" s="1"/>
      <c r="O87" s="1"/>
      <c r="P87" s="1"/>
      <c r="Q87" s="1"/>
      <c r="R87" s="1"/>
      <c r="S87" s="1"/>
      <c r="T87" s="1"/>
      <c r="U87" s="1"/>
      <c r="V87" s="1"/>
      <c r="W87" s="1"/>
      <c r="X87" s="1"/>
      <c r="Y87" s="1"/>
      <c r="Z87" s="1"/>
      <c r="AA87" s="1"/>
      <c r="AB87" s="1"/>
    </row>
    <row r="88" spans="1:28" ht="15" customHeight="1">
      <c r="A88" s="7"/>
      <c r="B88" s="7" t="str">
        <f>IF($D$13="English","Load position","Belastungsort")</f>
        <v>Load position</v>
      </c>
      <c r="C88" s="1"/>
      <c r="D88" s="1"/>
      <c r="E88" s="1"/>
      <c r="F88" s="1"/>
      <c r="G88" s="1"/>
      <c r="H88" s="1"/>
      <c r="I88" s="1"/>
      <c r="J88" s="1"/>
      <c r="K88" s="1"/>
      <c r="L88" s="1"/>
      <c r="M88" s="1"/>
      <c r="N88" s="1"/>
      <c r="O88" s="1"/>
      <c r="P88" s="1"/>
      <c r="R88" s="1"/>
      <c r="S88" s="1"/>
      <c r="T88" s="1"/>
      <c r="U88" s="1"/>
      <c r="V88" s="1"/>
      <c r="W88" s="1"/>
      <c r="X88" s="1"/>
      <c r="Y88" s="1"/>
      <c r="Z88" s="1"/>
      <c r="AA88" s="1"/>
      <c r="AB88" s="1"/>
    </row>
    <row r="89" spans="1:28" ht="12" customHeight="1">
      <c r="A89" s="7"/>
      <c r="B89" s="55">
        <v>1</v>
      </c>
      <c r="C89" s="56"/>
      <c r="D89" s="57">
        <f>IF($Q$94="Y",2,4)</f>
        <v>4</v>
      </c>
      <c r="E89" s="58"/>
      <c r="F89" s="57" t="str">
        <f>IF(AND($G$94=4,Q94="N")," ",IF($Q$94="Y",3,5))</f>
        <v xml:space="preserve"> </v>
      </c>
      <c r="G89" s="56"/>
      <c r="H89" s="57" t="str">
        <f>IF(AND(OR($G$94=4,$G$94=6),Q94="N")," ",IF($Q$94="Y",4,8))</f>
        <v xml:space="preserve"> </v>
      </c>
      <c r="I89" s="56"/>
      <c r="J89" s="57" t="str">
        <f>IF(AND(OR($G$94=4,$G$94=6,$G$94=8),$Q$94="N")," ",IF($Q$94="Y"," ",9))</f>
        <v xml:space="preserve"> </v>
      </c>
      <c r="K89" s="56"/>
      <c r="O89" s="1"/>
      <c r="P89" s="1"/>
      <c r="Q89" s="23" t="s">
        <v>76</v>
      </c>
      <c r="R89" s="1"/>
      <c r="S89" s="1"/>
      <c r="T89" s="1"/>
      <c r="U89" s="1"/>
      <c r="V89" s="1"/>
      <c r="W89" s="1"/>
      <c r="X89" s="1"/>
      <c r="Y89" s="1"/>
      <c r="Z89" s="1"/>
      <c r="AA89" s="1"/>
      <c r="AB89" s="1"/>
    </row>
    <row r="90" spans="1:28" ht="12" customHeight="1">
      <c r="A90" s="7"/>
      <c r="B90" s="59"/>
      <c r="C90" s="60"/>
      <c r="D90" s="61"/>
      <c r="E90" s="61"/>
      <c r="F90" s="62"/>
      <c r="G90" s="60"/>
      <c r="H90" s="61"/>
      <c r="I90" s="60"/>
      <c r="J90" s="59"/>
      <c r="K90" s="60"/>
      <c r="L90" s="1"/>
      <c r="M90" s="1"/>
      <c r="N90" s="1"/>
      <c r="O90" s="1"/>
      <c r="P90" s="1"/>
      <c r="Q90" s="1"/>
      <c r="R90" s="1"/>
      <c r="S90" s="1"/>
      <c r="T90" s="1"/>
      <c r="U90" s="1"/>
      <c r="V90" s="1"/>
      <c r="W90" s="1"/>
      <c r="X90" s="1"/>
      <c r="Y90" s="1"/>
      <c r="Z90" s="1"/>
      <c r="AA90" s="1"/>
      <c r="AB90" s="1"/>
    </row>
    <row r="91" spans="1:28" ht="12" customHeight="1">
      <c r="A91" s="7"/>
      <c r="B91" s="55">
        <f>IF($Q$94="Y"," ",2)</f>
        <v>2</v>
      </c>
      <c r="C91" s="63" t="s">
        <v>77</v>
      </c>
      <c r="D91" s="55">
        <f>IF($Q$94="Y"," ",3)</f>
        <v>3</v>
      </c>
      <c r="E91" s="58"/>
      <c r="F91" s="57" t="str">
        <f>IF($G$94=4," ",IF($Q$94="Y"," ",6))</f>
        <v xml:space="preserve"> </v>
      </c>
      <c r="G91" s="63"/>
      <c r="H91" s="57" t="str">
        <f>IF(OR($G$94=4,$G$94=6)," ",IF($Q$94="Y"," ",7))</f>
        <v xml:space="preserve"> </v>
      </c>
      <c r="I91" s="63"/>
      <c r="J91" s="57" t="str">
        <f>IF(AND(OR($G$94=4,$G$94=6,$G$94=8),$Q$94="N")," ",IF($Q$94="Y"," ",10))</f>
        <v xml:space="preserve"> </v>
      </c>
      <c r="K91" s="56"/>
      <c r="L91" s="1"/>
      <c r="M91" s="1"/>
      <c r="N91" s="1"/>
      <c r="O91" s="1"/>
      <c r="P91" s="1"/>
      <c r="Q91" s="1"/>
      <c r="R91" s="1"/>
      <c r="S91" s="1"/>
      <c r="T91" s="1"/>
      <c r="U91" s="1"/>
      <c r="V91" s="1"/>
      <c r="W91" s="1"/>
      <c r="X91" s="1"/>
      <c r="Y91" s="1"/>
      <c r="Z91" s="1"/>
      <c r="AA91" s="1"/>
      <c r="AB91" s="1"/>
    </row>
    <row r="92" spans="1:28" ht="12" customHeight="1">
      <c r="A92" s="7"/>
      <c r="B92" s="59"/>
      <c r="C92" s="60"/>
      <c r="D92" s="61"/>
      <c r="E92" s="64"/>
      <c r="F92" s="61"/>
      <c r="G92" s="60"/>
      <c r="H92" s="61"/>
      <c r="I92" s="60"/>
      <c r="J92" s="59"/>
      <c r="K92" s="60"/>
      <c r="L92" s="1"/>
      <c r="M92" s="1"/>
      <c r="N92" s="1"/>
      <c r="O92" s="1"/>
      <c r="P92" s="1"/>
      <c r="Q92" s="1"/>
      <c r="R92" s="1"/>
      <c r="S92" s="1"/>
      <c r="T92" s="1"/>
      <c r="U92" s="1"/>
      <c r="V92" s="1"/>
      <c r="W92" s="1"/>
      <c r="X92" s="1"/>
      <c r="Y92" s="1"/>
      <c r="Z92" s="1"/>
      <c r="AA92" s="1"/>
      <c r="AB92" s="1"/>
    </row>
    <row r="93" spans="1:28" ht="12" customHeight="1">
      <c r="A93" s="7"/>
      <c r="B93" s="1"/>
      <c r="C93" s="1"/>
      <c r="D93" s="1"/>
      <c r="E93" s="1"/>
      <c r="F93" s="1"/>
      <c r="G93" s="1"/>
      <c r="H93" s="1"/>
      <c r="I93" s="1"/>
      <c r="J93" s="236" t="str">
        <f>IF($D$13="English","Load positions in one line (e.g. weighing belt)?","Belastungsorte in einer Reihe (z.B. Bandwaage)?")</f>
        <v>Load positions in one line (e.g. weighing belt)?</v>
      </c>
      <c r="K93" s="237"/>
      <c r="L93" s="237"/>
      <c r="M93" s="237"/>
      <c r="N93" s="237"/>
      <c r="O93" s="237"/>
      <c r="P93" s="1"/>
      <c r="Q93" s="1"/>
      <c r="R93" s="1"/>
      <c r="S93" s="1"/>
      <c r="T93" s="1"/>
      <c r="U93" s="1"/>
      <c r="V93" s="1"/>
      <c r="W93" s="1"/>
      <c r="X93" s="1"/>
      <c r="Y93" s="1"/>
      <c r="Z93" s="1"/>
      <c r="AA93" s="1"/>
      <c r="AB93" s="1"/>
    </row>
    <row r="94" spans="1:28" ht="12" customHeight="1">
      <c r="A94" s="7"/>
      <c r="B94" s="1" t="str">
        <f>IF($D$13="English","number of load carrier","Anzahl Auflager")</f>
        <v>number of load carrier</v>
      </c>
      <c r="C94" s="1"/>
      <c r="F94" s="23" t="s">
        <v>76</v>
      </c>
      <c r="G94" s="171">
        <v>4</v>
      </c>
      <c r="H94" s="1"/>
      <c r="I94" s="1"/>
      <c r="J94" s="237"/>
      <c r="K94" s="237"/>
      <c r="L94" s="237"/>
      <c r="M94" s="237"/>
      <c r="N94" s="237"/>
      <c r="O94" s="237"/>
      <c r="Q94" s="172" t="s">
        <v>78</v>
      </c>
      <c r="R94" s="1"/>
      <c r="S94" s="1"/>
      <c r="T94" s="1"/>
      <c r="U94" s="1"/>
      <c r="V94" s="1"/>
      <c r="W94" s="1"/>
      <c r="X94" s="1"/>
      <c r="Y94" s="1"/>
      <c r="Z94" s="1"/>
      <c r="AA94" s="1"/>
      <c r="AB94" s="1"/>
    </row>
    <row r="95" spans="1:28" ht="12" customHeight="1">
      <c r="A95" s="7"/>
      <c r="B95" s="1"/>
      <c r="C95" s="1"/>
      <c r="D95" s="1"/>
      <c r="E95" s="1"/>
      <c r="F95" s="1"/>
      <c r="G95" s="1"/>
      <c r="H95" s="1"/>
      <c r="I95" s="1"/>
      <c r="J95" s="66"/>
      <c r="K95" s="1"/>
      <c r="L95" s="1"/>
      <c r="M95" s="1"/>
      <c r="N95" s="1"/>
      <c r="R95" s="1"/>
      <c r="S95" s="1"/>
      <c r="T95" s="1"/>
      <c r="U95" s="1"/>
      <c r="V95" s="1"/>
      <c r="W95" s="1"/>
      <c r="X95" s="1"/>
      <c r="Y95" s="1"/>
      <c r="Z95" s="1"/>
      <c r="AA95" s="1"/>
      <c r="AB95" s="1"/>
    </row>
    <row r="96" spans="1:28" ht="21.75" customHeight="1">
      <c r="A96" s="264" t="str">
        <f>IF($D$13="English","load must be about","ungefähre Last")</f>
        <v>load must be about</v>
      </c>
      <c r="B96" s="220"/>
      <c r="C96" s="67" t="s">
        <v>26</v>
      </c>
      <c r="D96" s="126"/>
      <c r="E96" s="68"/>
      <c r="F96" s="67" t="s">
        <v>27</v>
      </c>
      <c r="G96" s="68"/>
      <c r="H96" s="265" t="s">
        <v>28</v>
      </c>
      <c r="I96" s="220"/>
      <c r="J96" s="67" t="s">
        <v>29</v>
      </c>
      <c r="K96" s="68"/>
      <c r="L96" s="69" t="s">
        <v>30</v>
      </c>
      <c r="M96" s="65"/>
      <c r="N96" s="65"/>
      <c r="O96" s="34"/>
      <c r="P96" s="308" t="str">
        <f>IF($J$18="M","L calc"," ")</f>
        <v xml:space="preserve"> </v>
      </c>
      <c r="Q96" s="220"/>
      <c r="R96" s="65"/>
      <c r="S96" s="65"/>
      <c r="T96" s="65"/>
      <c r="U96" s="65"/>
      <c r="V96" s="65"/>
      <c r="W96" s="65"/>
      <c r="X96" s="65"/>
      <c r="Y96" s="65"/>
      <c r="Z96" s="65"/>
      <c r="AA96" s="65"/>
      <c r="AB96" s="65"/>
    </row>
    <row r="97" spans="1:28" ht="12" customHeight="1">
      <c r="A97" s="231" t="s">
        <v>33</v>
      </c>
      <c r="B97" s="220"/>
      <c r="C97" s="18" t="s">
        <v>32</v>
      </c>
      <c r="D97" s="20" t="s">
        <v>79</v>
      </c>
      <c r="E97" s="21" t="s">
        <v>33</v>
      </c>
      <c r="F97" s="18" t="s">
        <v>33</v>
      </c>
      <c r="G97" s="70"/>
      <c r="H97" s="231" t="s">
        <v>33</v>
      </c>
      <c r="I97" s="220"/>
      <c r="J97" s="19" t="s">
        <v>33</v>
      </c>
      <c r="K97" s="21" t="s">
        <v>32</v>
      </c>
      <c r="L97" s="19" t="s">
        <v>34</v>
      </c>
      <c r="M97" s="1"/>
      <c r="N97" s="1"/>
      <c r="P97" s="308" t="str">
        <f>IF($J$18="M","[kg]"," ")</f>
        <v xml:space="preserve"> </v>
      </c>
      <c r="Q97" s="220"/>
      <c r="R97" s="1"/>
      <c r="S97" s="1"/>
      <c r="T97" s="1"/>
      <c r="U97" s="1"/>
      <c r="V97" s="1"/>
      <c r="W97" s="1"/>
      <c r="X97" s="1"/>
      <c r="Y97" s="1"/>
      <c r="Z97" s="1"/>
      <c r="AA97" s="1"/>
      <c r="AB97" s="1"/>
    </row>
    <row r="98" spans="1:28" ht="12" customHeight="1">
      <c r="A98" s="280">
        <f t="shared" ref="A98:A101" si="25">ROUND($D$9/($G$94-1),-0.01)</f>
        <v>0</v>
      </c>
      <c r="B98" s="220"/>
      <c r="C98" s="11" t="str">
        <f>IF($D$10=0," ",E98/$D$10)</f>
        <v xml:space="preserve"> </v>
      </c>
      <c r="D98" s="20">
        <v>1</v>
      </c>
      <c r="E98" s="175"/>
      <c r="F98" s="269"/>
      <c r="G98" s="216"/>
      <c r="H98" s="270" t="str">
        <f t="shared" ref="H98:H107" si="26">IF(F98=0," ",IF($J$18="M",(F98-P98),(F98-E98)))</f>
        <v xml:space="preserve"> </v>
      </c>
      <c r="I98" s="220"/>
      <c r="J98" s="90">
        <f t="shared" ref="J98:J107" si="27">PRODUCT($D$10,K98)</f>
        <v>0</v>
      </c>
      <c r="K98" s="26">
        <f t="shared" ref="K98:K107" si="28">IF(C98=" ",0,IF(C98&lt;=500,0.5,(IF(C98&lt;=2000,1,IF(C98&gt;2000,1.5," ")))))</f>
        <v>0</v>
      </c>
      <c r="L98" s="27" t="str">
        <f t="shared" ref="L98:L107" si="29">IF(F98=0," ",IF(ABS(H98)&lt;=J98,"Y","N"))</f>
        <v xml:space="preserve"> </v>
      </c>
      <c r="M98" s="1"/>
      <c r="P98" s="307" t="str">
        <f t="shared" ref="P98:P107" si="30">IF(E98=" "," ",IF($J$18="M",E98*(1-($K$21-$D$21)/$D$21)," "))</f>
        <v xml:space="preserve"> </v>
      </c>
      <c r="Q98" s="220"/>
      <c r="R98" s="1"/>
      <c r="S98" s="1"/>
      <c r="T98" s="1"/>
      <c r="U98" s="1"/>
      <c r="V98" s="1"/>
      <c r="W98" s="1"/>
      <c r="X98" s="1"/>
      <c r="Y98" s="1"/>
      <c r="Z98" s="1"/>
      <c r="AA98" s="1"/>
      <c r="AB98" s="1"/>
    </row>
    <row r="99" spans="1:28" ht="12" customHeight="1">
      <c r="A99" s="280">
        <f t="shared" si="25"/>
        <v>0</v>
      </c>
      <c r="B99" s="220"/>
      <c r="C99" s="11" t="str">
        <f t="shared" ref="C99:C101" si="31">IF($D$10=0," ",IF(E99=" ",0,E99/$D$10))</f>
        <v xml:space="preserve"> </v>
      </c>
      <c r="D99" s="20">
        <v>2</v>
      </c>
      <c r="E99" s="96" t="str">
        <f t="shared" ref="E99:E101" si="32">IF($G$94&gt;1,IF($E$98=0," ",$E$98)," ")</f>
        <v xml:space="preserve"> </v>
      </c>
      <c r="F99" s="269"/>
      <c r="G99" s="216"/>
      <c r="H99" s="270" t="str">
        <f t="shared" si="26"/>
        <v xml:space="preserve"> </v>
      </c>
      <c r="I99" s="220"/>
      <c r="J99" s="90">
        <f t="shared" si="27"/>
        <v>0</v>
      </c>
      <c r="K99" s="26">
        <f t="shared" si="28"/>
        <v>0</v>
      </c>
      <c r="L99" s="27" t="str">
        <f t="shared" si="29"/>
        <v xml:space="preserve"> </v>
      </c>
      <c r="N99" s="73" t="str">
        <f>IF(AND(L98="Y",L99="Y",L100="Y",L101="Y"),"Y","N")</f>
        <v>N</v>
      </c>
      <c r="P99" s="307" t="str">
        <f t="shared" si="30"/>
        <v xml:space="preserve"> </v>
      </c>
      <c r="Q99" s="220"/>
      <c r="R99" s="1"/>
      <c r="S99" s="1"/>
      <c r="T99" s="1"/>
      <c r="U99" s="1"/>
      <c r="V99" s="1"/>
      <c r="W99" s="1"/>
      <c r="X99" s="1"/>
      <c r="Y99" s="1"/>
      <c r="Z99" s="1"/>
      <c r="AA99" s="1"/>
      <c r="AB99" s="1"/>
    </row>
    <row r="100" spans="1:28" ht="12" customHeight="1">
      <c r="A100" s="280">
        <f t="shared" si="25"/>
        <v>0</v>
      </c>
      <c r="B100" s="220"/>
      <c r="C100" s="11" t="str">
        <f t="shared" si="31"/>
        <v xml:space="preserve"> </v>
      </c>
      <c r="D100" s="20">
        <v>3</v>
      </c>
      <c r="E100" s="96" t="str">
        <f t="shared" si="32"/>
        <v xml:space="preserve"> </v>
      </c>
      <c r="F100" s="269"/>
      <c r="G100" s="216"/>
      <c r="H100" s="270" t="str">
        <f t="shared" si="26"/>
        <v xml:space="preserve"> </v>
      </c>
      <c r="I100" s="220"/>
      <c r="J100" s="90">
        <f t="shared" si="27"/>
        <v>0</v>
      </c>
      <c r="K100" s="26">
        <f t="shared" si="28"/>
        <v>0</v>
      </c>
      <c r="L100" s="27" t="str">
        <f t="shared" si="29"/>
        <v xml:space="preserve"> </v>
      </c>
      <c r="N100" s="73" t="str">
        <f>IF(AND(L98="Y",L99="Y",L100="Y",L101="Y",L102="Y",L103="Y"),"Y","N")</f>
        <v>N</v>
      </c>
      <c r="P100" s="307" t="str">
        <f t="shared" si="30"/>
        <v xml:space="preserve"> </v>
      </c>
      <c r="Q100" s="220"/>
      <c r="R100" s="1"/>
      <c r="S100" s="1"/>
      <c r="T100" s="1"/>
      <c r="U100" s="1"/>
      <c r="V100" s="1"/>
      <c r="W100" s="1"/>
      <c r="X100" s="1"/>
      <c r="Y100" s="1"/>
      <c r="Z100" s="1"/>
      <c r="AA100" s="1"/>
      <c r="AB100" s="1"/>
    </row>
    <row r="101" spans="1:28" ht="12" customHeight="1">
      <c r="A101" s="280">
        <f t="shared" si="25"/>
        <v>0</v>
      </c>
      <c r="B101" s="220"/>
      <c r="C101" s="11" t="str">
        <f t="shared" si="31"/>
        <v xml:space="preserve"> </v>
      </c>
      <c r="D101" s="20">
        <v>4</v>
      </c>
      <c r="E101" s="96" t="str">
        <f t="shared" si="32"/>
        <v xml:space="preserve"> </v>
      </c>
      <c r="F101" s="269"/>
      <c r="G101" s="216"/>
      <c r="H101" s="270" t="str">
        <f t="shared" si="26"/>
        <v xml:space="preserve"> </v>
      </c>
      <c r="I101" s="220"/>
      <c r="J101" s="90">
        <f t="shared" si="27"/>
        <v>0</v>
      </c>
      <c r="K101" s="26">
        <f t="shared" si="28"/>
        <v>0</v>
      </c>
      <c r="L101" s="27" t="str">
        <f t="shared" si="29"/>
        <v xml:space="preserve"> </v>
      </c>
      <c r="N101" s="73" t="str">
        <f>IF(AND(L98="Y",L99="Y",L100="Y",L101="Y",L102="Y",L103="Y",L104="Y",L105="Y"),"Y","N")</f>
        <v>N</v>
      </c>
      <c r="P101" s="307" t="str">
        <f t="shared" si="30"/>
        <v xml:space="preserve"> </v>
      </c>
      <c r="Q101" s="220"/>
      <c r="R101" s="1"/>
      <c r="S101" s="1"/>
      <c r="T101" s="1"/>
      <c r="U101" s="1"/>
      <c r="V101" s="1"/>
      <c r="W101" s="1"/>
      <c r="X101" s="1"/>
      <c r="Y101" s="1"/>
      <c r="Z101" s="1"/>
      <c r="AA101" s="1"/>
      <c r="AB101" s="1"/>
    </row>
    <row r="102" spans="1:28" ht="12" customHeight="1">
      <c r="A102" s="280" t="str">
        <f>IF(G94=4," ",ROUND($D$9/($G$94-1),-0.01))</f>
        <v xml:space="preserve"> </v>
      </c>
      <c r="B102" s="220"/>
      <c r="C102" s="11" t="str">
        <f t="shared" ref="C102:C107" si="33">IF($D$10=0," ",IF(E102=" "," ",E102/$D$10))</f>
        <v xml:space="preserve"> </v>
      </c>
      <c r="D102" s="20">
        <v>5</v>
      </c>
      <c r="E102" s="96" t="str">
        <f t="shared" ref="E102:E103" si="34">IF($G$94&gt;4,IF($E$98=0," ",$E$98)," ")</f>
        <v xml:space="preserve"> </v>
      </c>
      <c r="F102" s="269"/>
      <c r="G102" s="216"/>
      <c r="H102" s="270" t="str">
        <f t="shared" si="26"/>
        <v xml:space="preserve"> </v>
      </c>
      <c r="I102" s="220"/>
      <c r="J102" s="90">
        <f t="shared" si="27"/>
        <v>0</v>
      </c>
      <c r="K102" s="26">
        <f t="shared" si="28"/>
        <v>0</v>
      </c>
      <c r="L102" s="27" t="str">
        <f t="shared" si="29"/>
        <v xml:space="preserve"> </v>
      </c>
      <c r="N102" s="73" t="str">
        <f>IF(AND(L98="Y",L99="Y",L100="Y",L101="Y",L102="Y",L103="Y",L104="Y",L105="Y",L106="Y",L107="Y"),"Y","N")</f>
        <v>N</v>
      </c>
      <c r="P102" s="307" t="str">
        <f t="shared" si="30"/>
        <v xml:space="preserve"> </v>
      </c>
      <c r="Q102" s="220"/>
      <c r="R102" s="1"/>
      <c r="S102" s="1"/>
      <c r="T102" s="1"/>
      <c r="U102" s="1"/>
      <c r="V102" s="1"/>
      <c r="W102" s="1"/>
      <c r="X102" s="1"/>
      <c r="Y102" s="1"/>
      <c r="Z102" s="1"/>
      <c r="AA102" s="1"/>
      <c r="AB102" s="1"/>
    </row>
    <row r="103" spans="1:28" ht="12" customHeight="1">
      <c r="A103" s="280" t="str">
        <f>IF(G94=4," ",ROUND($D$9/($G$94-1),-0.01))</f>
        <v xml:space="preserve"> </v>
      </c>
      <c r="B103" s="220"/>
      <c r="C103" s="11" t="str">
        <f t="shared" si="33"/>
        <v xml:space="preserve"> </v>
      </c>
      <c r="D103" s="20">
        <v>6</v>
      </c>
      <c r="E103" s="96" t="str">
        <f t="shared" si="34"/>
        <v xml:space="preserve"> </v>
      </c>
      <c r="F103" s="269"/>
      <c r="G103" s="216"/>
      <c r="H103" s="270" t="str">
        <f t="shared" si="26"/>
        <v xml:space="preserve"> </v>
      </c>
      <c r="I103" s="220"/>
      <c r="J103" s="90">
        <f t="shared" si="27"/>
        <v>0</v>
      </c>
      <c r="K103" s="26">
        <f t="shared" si="28"/>
        <v>0</v>
      </c>
      <c r="L103" s="27" t="str">
        <f t="shared" si="29"/>
        <v xml:space="preserve"> </v>
      </c>
      <c r="P103" s="307" t="str">
        <f t="shared" si="30"/>
        <v xml:space="preserve"> </v>
      </c>
      <c r="Q103" s="220"/>
      <c r="R103" s="1"/>
      <c r="S103" s="1"/>
      <c r="T103" s="1"/>
      <c r="U103" s="1"/>
      <c r="V103" s="1"/>
      <c r="W103" s="1"/>
      <c r="X103" s="1"/>
      <c r="Y103" s="1"/>
      <c r="Z103" s="1"/>
      <c r="AA103" s="1"/>
      <c r="AB103" s="1"/>
    </row>
    <row r="104" spans="1:28" ht="12" customHeight="1">
      <c r="A104" s="280" t="str">
        <f>IF(G94&lt;8," ",ROUND($D$9/($G$94-1),-0.01))</f>
        <v xml:space="preserve"> </v>
      </c>
      <c r="B104" s="220"/>
      <c r="C104" s="11" t="str">
        <f t="shared" si="33"/>
        <v xml:space="preserve"> </v>
      </c>
      <c r="D104" s="20">
        <v>7</v>
      </c>
      <c r="E104" s="96" t="str">
        <f t="shared" ref="E104:E107" si="35">IF($G$94&gt;6,IF($E$98=0," ",$E$98)," ")</f>
        <v xml:space="preserve"> </v>
      </c>
      <c r="F104" s="269"/>
      <c r="G104" s="216"/>
      <c r="H104" s="270" t="str">
        <f t="shared" si="26"/>
        <v xml:space="preserve"> </v>
      </c>
      <c r="I104" s="220"/>
      <c r="J104" s="90">
        <f t="shared" si="27"/>
        <v>0</v>
      </c>
      <c r="K104" s="26">
        <f t="shared" si="28"/>
        <v>0</v>
      </c>
      <c r="L104" s="27" t="str">
        <f t="shared" si="29"/>
        <v xml:space="preserve"> </v>
      </c>
      <c r="P104" s="307" t="str">
        <f t="shared" si="30"/>
        <v xml:space="preserve"> </v>
      </c>
      <c r="Q104" s="220"/>
      <c r="R104" s="1"/>
      <c r="S104" s="1"/>
      <c r="T104" s="1"/>
      <c r="U104" s="1"/>
      <c r="V104" s="1"/>
      <c r="W104" s="1"/>
      <c r="X104" s="1"/>
      <c r="Y104" s="1"/>
      <c r="Z104" s="1"/>
      <c r="AA104" s="1"/>
      <c r="AB104" s="1"/>
    </row>
    <row r="105" spans="1:28" ht="12" customHeight="1">
      <c r="A105" s="280" t="str">
        <f>IF(G94&lt;8," ",ROUND($D$9/($G$94-1),-0.01))</f>
        <v xml:space="preserve"> </v>
      </c>
      <c r="B105" s="220"/>
      <c r="C105" s="11" t="str">
        <f t="shared" si="33"/>
        <v xml:space="preserve"> </v>
      </c>
      <c r="D105" s="20">
        <v>8</v>
      </c>
      <c r="E105" s="96" t="str">
        <f t="shared" si="35"/>
        <v xml:space="preserve"> </v>
      </c>
      <c r="F105" s="269"/>
      <c r="G105" s="216"/>
      <c r="H105" s="270" t="str">
        <f t="shared" si="26"/>
        <v xml:space="preserve"> </v>
      </c>
      <c r="I105" s="220"/>
      <c r="J105" s="90">
        <f t="shared" si="27"/>
        <v>0</v>
      </c>
      <c r="K105" s="26">
        <f t="shared" si="28"/>
        <v>0</v>
      </c>
      <c r="L105" s="27" t="str">
        <f t="shared" si="29"/>
        <v xml:space="preserve"> </v>
      </c>
      <c r="P105" s="307" t="str">
        <f t="shared" si="30"/>
        <v xml:space="preserve"> </v>
      </c>
      <c r="Q105" s="220"/>
      <c r="R105" s="1"/>
      <c r="S105" s="1"/>
      <c r="T105" s="1"/>
      <c r="U105" s="1"/>
      <c r="V105" s="1"/>
      <c r="W105" s="1"/>
      <c r="X105" s="1"/>
      <c r="Y105" s="1"/>
      <c r="Z105" s="1"/>
      <c r="AA105" s="1"/>
      <c r="AB105" s="1"/>
    </row>
    <row r="106" spans="1:28" ht="12" customHeight="1">
      <c r="A106" s="280" t="str">
        <f>IF(G94&lt;10," ",ROUND($D$9/($G$94-1),-0.01))</f>
        <v xml:space="preserve"> </v>
      </c>
      <c r="B106" s="220"/>
      <c r="C106" s="11" t="str">
        <f t="shared" si="33"/>
        <v xml:space="preserve"> </v>
      </c>
      <c r="D106" s="20">
        <v>9</v>
      </c>
      <c r="E106" s="96" t="str">
        <f t="shared" si="35"/>
        <v xml:space="preserve"> </v>
      </c>
      <c r="F106" s="269"/>
      <c r="G106" s="216"/>
      <c r="H106" s="270" t="str">
        <f t="shared" si="26"/>
        <v xml:space="preserve"> </v>
      </c>
      <c r="I106" s="220"/>
      <c r="J106" s="90">
        <f t="shared" si="27"/>
        <v>0</v>
      </c>
      <c r="K106" s="26">
        <f t="shared" si="28"/>
        <v>0</v>
      </c>
      <c r="L106" s="27" t="str">
        <f t="shared" si="29"/>
        <v xml:space="preserve"> </v>
      </c>
      <c r="P106" s="307" t="str">
        <f t="shared" si="30"/>
        <v xml:space="preserve"> </v>
      </c>
      <c r="Q106" s="220"/>
      <c r="R106" s="1"/>
      <c r="S106" s="1"/>
      <c r="T106" s="1"/>
      <c r="U106" s="1"/>
      <c r="V106" s="1"/>
      <c r="W106" s="1"/>
      <c r="X106" s="1"/>
      <c r="Y106" s="1"/>
      <c r="Z106" s="1"/>
      <c r="AA106" s="1"/>
      <c r="AB106" s="1"/>
    </row>
    <row r="107" spans="1:28" ht="12" customHeight="1">
      <c r="A107" s="280" t="str">
        <f>IF(G94&lt;10," ",ROUND($D$9/($G$94-1),-0.01))</f>
        <v xml:space="preserve"> </v>
      </c>
      <c r="B107" s="220"/>
      <c r="C107" s="11" t="str">
        <f t="shared" si="33"/>
        <v xml:space="preserve"> </v>
      </c>
      <c r="D107" s="20">
        <v>10</v>
      </c>
      <c r="E107" s="96" t="str">
        <f t="shared" si="35"/>
        <v xml:space="preserve"> </v>
      </c>
      <c r="F107" s="269"/>
      <c r="G107" s="216"/>
      <c r="H107" s="270" t="str">
        <f t="shared" si="26"/>
        <v xml:space="preserve"> </v>
      </c>
      <c r="I107" s="220"/>
      <c r="J107" s="90">
        <f t="shared" si="27"/>
        <v>0</v>
      </c>
      <c r="K107" s="26">
        <f t="shared" si="28"/>
        <v>0</v>
      </c>
      <c r="L107" s="27" t="str">
        <f t="shared" si="29"/>
        <v xml:space="preserve"> </v>
      </c>
      <c r="P107" s="307" t="str">
        <f t="shared" si="30"/>
        <v xml:space="preserve"> </v>
      </c>
      <c r="Q107" s="220"/>
      <c r="R107" s="1"/>
      <c r="S107" s="1"/>
      <c r="T107" s="1"/>
      <c r="U107" s="1"/>
      <c r="V107" s="1"/>
      <c r="W107" s="1"/>
      <c r="X107" s="1"/>
      <c r="Y107" s="1"/>
      <c r="Z107" s="1"/>
      <c r="AA107" s="1"/>
      <c r="AB107" s="1"/>
    </row>
    <row r="108" spans="1:28" ht="12" customHeight="1">
      <c r="A108" s="1"/>
      <c r="B108" s="1"/>
      <c r="C108" s="1"/>
      <c r="D108" s="1"/>
      <c r="E108" s="1"/>
      <c r="F108" s="262"/>
      <c r="G108" s="237"/>
      <c r="H108" s="31"/>
      <c r="I108" s="1"/>
      <c r="J108" s="17"/>
      <c r="K108" s="6" t="str">
        <f>IF($D$13="English","Test passed?","Test bestanden?")</f>
        <v>Test passed?</v>
      </c>
      <c r="L108" s="27" t="str">
        <f>IF($G$94=4,$N$99,IF($G$94=6,$N$100,IF($G$94=8,$N$101,IF($G94=10,$N$102,"N"))))</f>
        <v>N</v>
      </c>
      <c r="R108" s="1"/>
      <c r="S108" s="1"/>
      <c r="T108" s="1"/>
      <c r="U108" s="1"/>
      <c r="V108" s="1"/>
      <c r="W108" s="1"/>
      <c r="X108" s="1"/>
      <c r="Y108" s="1"/>
      <c r="Z108" s="1"/>
      <c r="AA108" s="1"/>
      <c r="AB108" s="1"/>
    </row>
    <row r="109" spans="1:28" ht="12.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2.75" customHeight="1">
      <c r="A110" s="7" t="str">
        <f>IF($D$13="English","7.  Earth Gravity","7. Fallbeschleunigung")</f>
        <v>7.  Earth Gravity</v>
      </c>
      <c r="B110" s="46"/>
      <c r="C110" s="74"/>
      <c r="D110" s="74"/>
      <c r="E110" s="41"/>
      <c r="F110" s="41"/>
      <c r="G110" s="41"/>
      <c r="H110" s="75"/>
      <c r="I110" s="75"/>
      <c r="J110" s="41"/>
      <c r="K110" s="41"/>
      <c r="L110" s="73"/>
      <c r="M110" s="73"/>
      <c r="N110" s="42"/>
      <c r="O110" s="42"/>
      <c r="P110" s="28"/>
      <c r="Q110" s="1"/>
      <c r="R110" s="1"/>
      <c r="S110" s="1"/>
      <c r="T110" s="1"/>
      <c r="U110" s="1"/>
      <c r="V110" s="1"/>
      <c r="W110" s="1"/>
      <c r="X110" s="1"/>
      <c r="Y110" s="1"/>
      <c r="Z110" s="1"/>
      <c r="AA110" s="1"/>
      <c r="AB110" s="1"/>
    </row>
    <row r="111" spans="1:28" ht="12.75" customHeight="1">
      <c r="A111" s="7" t="str">
        <f>IF($D$13="English","Verification for: g=","Prüfung für: g=")</f>
        <v>Verification for: g=</v>
      </c>
      <c r="B111" s="46"/>
      <c r="C111" s="74"/>
      <c r="D111" s="260"/>
      <c r="E111" s="216"/>
      <c r="F111" s="41"/>
      <c r="G111" s="41"/>
      <c r="H111" s="176" t="s">
        <v>80</v>
      </c>
      <c r="I111" s="7" t="str">
        <f>IF($D$13="English","Not required","vernachlässigbar")</f>
        <v>Not required</v>
      </c>
      <c r="J111" s="41"/>
      <c r="K111" s="41"/>
      <c r="L111" s="73"/>
      <c r="M111" s="73"/>
      <c r="N111" s="1"/>
      <c r="O111" s="1"/>
      <c r="P111" s="1"/>
      <c r="Q111" s="1"/>
      <c r="R111" s="1"/>
      <c r="S111" s="1"/>
      <c r="T111" s="1"/>
      <c r="U111" s="1"/>
      <c r="V111" s="1"/>
      <c r="W111" s="1"/>
      <c r="X111" s="1"/>
      <c r="Y111" s="1"/>
      <c r="Z111" s="1"/>
      <c r="AA111" s="1"/>
      <c r="AB111" s="1"/>
    </row>
    <row r="112" spans="1:28" ht="12.75" customHeight="1">
      <c r="A112" s="45"/>
      <c r="B112" s="46"/>
      <c r="C112" s="74"/>
      <c r="D112" s="260"/>
      <c r="E112" s="216"/>
      <c r="F112" s="41"/>
      <c r="G112" s="41"/>
      <c r="H112" s="75"/>
      <c r="I112" s="75"/>
      <c r="J112" s="41"/>
      <c r="K112" s="41"/>
      <c r="L112" s="73"/>
      <c r="M112" s="73"/>
      <c r="N112" s="1"/>
      <c r="O112" s="1"/>
      <c r="P112" s="1"/>
      <c r="Q112" s="1"/>
      <c r="R112" s="1"/>
      <c r="S112" s="1"/>
      <c r="T112" s="1"/>
      <c r="U112" s="1"/>
      <c r="V112" s="1"/>
      <c r="W112" s="1"/>
      <c r="X112" s="1"/>
      <c r="Y112" s="1"/>
      <c r="Z112" s="1"/>
      <c r="AA112" s="1"/>
      <c r="AB112" s="1"/>
    </row>
    <row r="113" spans="1:28" ht="12.75" customHeight="1">
      <c r="A113" s="45"/>
      <c r="B113" s="46"/>
      <c r="C113" s="74"/>
      <c r="D113" s="74"/>
      <c r="E113" s="74"/>
      <c r="F113" s="41"/>
      <c r="G113" s="41"/>
      <c r="H113" s="75"/>
      <c r="I113" s="75"/>
      <c r="J113" s="41"/>
      <c r="K113" s="41"/>
      <c r="L113" s="73"/>
      <c r="M113" s="73"/>
      <c r="N113" s="1"/>
      <c r="O113" s="1"/>
      <c r="P113" s="1"/>
      <c r="Q113" s="1"/>
      <c r="R113" s="1"/>
      <c r="S113" s="1"/>
      <c r="T113" s="1"/>
      <c r="U113" s="1"/>
      <c r="V113" s="1"/>
      <c r="W113" s="1"/>
      <c r="X113" s="1"/>
      <c r="Y113" s="1"/>
      <c r="Z113" s="1"/>
      <c r="AA113" s="1"/>
      <c r="AB113" s="1"/>
    </row>
    <row r="114" spans="1:28" ht="12.75" customHeight="1">
      <c r="A114" s="76" t="str">
        <f>IF($D$13="English","place of installation:","Ort der Inbetriebnahme:")</f>
        <v>place of installation:</v>
      </c>
      <c r="B114" s="1"/>
      <c r="C114" s="1"/>
      <c r="D114" s="1"/>
      <c r="E114" s="253"/>
      <c r="F114" s="215"/>
      <c r="G114" s="215"/>
      <c r="H114" s="215"/>
      <c r="I114" s="215"/>
      <c r="J114" s="215"/>
      <c r="K114" s="215"/>
      <c r="L114" s="215"/>
      <c r="M114" s="215"/>
      <c r="N114" s="215"/>
      <c r="O114" s="215"/>
      <c r="P114" s="215"/>
      <c r="Q114" s="261"/>
      <c r="R114" s="1"/>
      <c r="S114" s="1"/>
      <c r="T114" s="1"/>
      <c r="U114" s="1"/>
      <c r="V114" s="1"/>
      <c r="W114" s="1"/>
      <c r="X114" s="1"/>
      <c r="Y114" s="1"/>
      <c r="Z114" s="1"/>
      <c r="AA114" s="1"/>
      <c r="AB114" s="1"/>
    </row>
    <row r="115" spans="1:28" ht="12.75" customHeight="1">
      <c r="A115" s="77"/>
      <c r="B115" s="1"/>
      <c r="C115" s="1"/>
      <c r="D115" s="1"/>
      <c r="E115" s="253"/>
      <c r="F115" s="215"/>
      <c r="G115" s="215"/>
      <c r="H115" s="215"/>
      <c r="I115" s="215"/>
      <c r="J115" s="215"/>
      <c r="K115" s="215"/>
      <c r="L115" s="215"/>
      <c r="M115" s="215"/>
      <c r="N115" s="215"/>
      <c r="O115" s="215"/>
      <c r="P115" s="215"/>
      <c r="Q115" s="261"/>
      <c r="R115" s="1"/>
      <c r="S115" s="1"/>
      <c r="T115" s="1"/>
      <c r="U115" s="1"/>
      <c r="V115" s="1"/>
      <c r="W115" s="1"/>
      <c r="X115" s="1"/>
      <c r="Y115" s="1"/>
      <c r="Z115" s="1"/>
      <c r="AA115" s="1"/>
      <c r="AB115" s="1"/>
    </row>
    <row r="116" spans="1:28" ht="12.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8" customHeight="1">
      <c r="A117" s="76" t="str">
        <f>IF($D$13="English","Calibration Counter C:","Kalibrierzähler C:")</f>
        <v>Calibration Counter C:</v>
      </c>
      <c r="B117" s="1"/>
      <c r="C117" s="1"/>
      <c r="D117" s="1"/>
      <c r="E117" s="253"/>
      <c r="F117" s="216"/>
      <c r="G117" s="17"/>
      <c r="H117" s="41"/>
      <c r="I117" s="41"/>
      <c r="J117" s="41"/>
      <c r="K117" s="41"/>
      <c r="L117" s="73"/>
      <c r="M117" s="73"/>
      <c r="N117" s="1"/>
      <c r="O117" s="1"/>
      <c r="P117" s="1"/>
      <c r="Q117" s="1"/>
      <c r="R117" s="1"/>
      <c r="S117" s="1"/>
      <c r="T117" s="1"/>
      <c r="U117" s="1"/>
      <c r="V117" s="1"/>
      <c r="W117" s="1"/>
      <c r="X117" s="1"/>
      <c r="Y117" s="1"/>
      <c r="Z117" s="1"/>
      <c r="AA117" s="1"/>
      <c r="AB117" s="1"/>
    </row>
    <row r="118" spans="1:28" ht="12.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2.75" customHeight="1">
      <c r="A119" s="78"/>
      <c r="B119" s="78" t="str">
        <f>IF($D$13="English","Note:  If the scale  fails any test, it should not be used!","Anmerkung: Falls ein Test nicht bestanden ist, ist die Waage nicht eichfähig!")</f>
        <v>Note:  If the scale  fails any test, it should not be used!</v>
      </c>
      <c r="C119" s="74"/>
      <c r="D119" s="41"/>
      <c r="E119" s="41"/>
      <c r="F119" s="41"/>
      <c r="G119" s="17"/>
      <c r="H119" s="41"/>
      <c r="I119" s="41"/>
      <c r="J119" s="41"/>
      <c r="K119" s="41"/>
      <c r="L119" s="73"/>
      <c r="M119" s="73"/>
      <c r="N119" s="1"/>
      <c r="O119" s="1"/>
      <c r="P119" s="1"/>
      <c r="Q119" s="1"/>
      <c r="R119" s="1"/>
      <c r="S119" s="1"/>
      <c r="T119" s="1"/>
      <c r="U119" s="1"/>
      <c r="V119" s="1"/>
      <c r="W119" s="1"/>
      <c r="X119" s="1"/>
      <c r="Y119" s="1"/>
      <c r="Z119" s="1"/>
      <c r="AA119" s="1"/>
      <c r="AB119" s="1"/>
    </row>
    <row r="120" spans="1:28" ht="12"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2"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2"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2"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2"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2"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2"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2"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2"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2"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2"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2"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2"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2"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2"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2"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2"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2"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2"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2"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2"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2"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2"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2"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2"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2"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2"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2"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2"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2"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2"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2"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2"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2"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2"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2"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2"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2"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2"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2"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2"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2"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2"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2"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2"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2"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2"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2"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2"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2"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2"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2"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2"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2"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2"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2"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2"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2"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2"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2"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2"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2"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2"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2"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2"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2"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2"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2"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2"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2"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2"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2"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2"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2"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2"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2"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2"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2"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2"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2"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2"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2"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2"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2"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2"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2"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2"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2"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2"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2"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2"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2"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2"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2"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2"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2"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2"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2"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2"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2"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2"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2"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2"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2"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2"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2"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2"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2"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2"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2"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2"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2"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2"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2"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2"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2"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2"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2"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2"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2"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2"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2"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2"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2"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2"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2"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2"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2"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2"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2"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2"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2"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2"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2"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2"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2"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2"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2"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2"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2"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2"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2"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2"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2"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2"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2"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2"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2"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2"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2"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2"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2"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2"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2"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2"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2"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2"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2"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2"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2"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2"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2"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2"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2"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2"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2"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2"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2"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2"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2"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2"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2"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2"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2"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2"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2"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2"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2"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2"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2"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2"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2"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2"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2"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2"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2"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2"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2"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2"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2"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2"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2"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2"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2"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2"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2"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2"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2"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2"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2"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2"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2"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2"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2"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2"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2"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2"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2"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2"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2"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2"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2"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2"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2"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2"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2"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2"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2"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2"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2"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2"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2"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2"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2"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2"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2"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2"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2"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2"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2"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2"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2"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2"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2"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2"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2"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2"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2"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2"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2"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2"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2"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2"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2"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2"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2"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2"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2"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2"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2"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2"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2"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2"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2"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2"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2"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2"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2"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2"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2"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2"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2"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2"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2"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2"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2"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2"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2"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2"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2"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2"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2"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2"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2"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2"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2"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2"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2"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2"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2"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2"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2"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2"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2"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2"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2"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2"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2"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2"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2"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2"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2"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2"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2"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2"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2"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2"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2"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2"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2"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2"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2"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2"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2"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2"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2"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2"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2"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2"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2"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2"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2"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2"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2"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2"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2"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2"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2"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2"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2"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2"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2"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2"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2"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2"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2"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2"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2"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2"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2"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2"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2"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2"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2"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2"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2"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2"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2"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2"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2"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2"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2"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2"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2"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2"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2"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2"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2"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2"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2"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2"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2"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2"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2"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2"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2"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2"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2"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2"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2"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2"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2"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2"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2"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2"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2"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2"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2"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2"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2"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2"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2"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2"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2"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2"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2"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2"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2"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2"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2"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2"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2"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2"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2"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2"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2"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2"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2"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2"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2"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2"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2"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2"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2"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2"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2"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2"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2"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2"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2"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2"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2"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2"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2"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2"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2"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2"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2"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2"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2"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2"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2"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2"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2"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2"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2"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2"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2"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2"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2"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2"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2"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2"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2"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2"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2"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2"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2"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2"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2"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2"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2"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2"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2"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2"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2"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2"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2"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2"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2"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2"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2"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2"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2"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2"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2"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2"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2"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2"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2"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2"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2"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2"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2"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2"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2"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2"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2"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2"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2"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2"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2"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2"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2"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2"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2"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2"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2"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2"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2"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2"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2"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2"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2"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2"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2"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2"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2"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2"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2"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2"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2"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2"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2"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2"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2"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2"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2"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2"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2"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2"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2"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2"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2"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2"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2"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2"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2"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2"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2"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2"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2"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2"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2"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2"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2"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2"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2"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2"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2"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2"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2"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2"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2"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2"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2"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2"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2"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2"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2"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2"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2"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2"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2"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2"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2"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2"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2"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2"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2"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2"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2"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2"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2"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2"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2"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2"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2"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2"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2"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2"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2"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2"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2"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2"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2"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2"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2"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2"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2"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2"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2"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2"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2"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2"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2"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2"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2"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2"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2"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2"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2"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2"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2"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2"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2"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2"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2"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2"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2"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2"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2"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2"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2"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2"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2"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2"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2"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2"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2"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2"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2"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2"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2"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2"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2"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2"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2"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2"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2"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2"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2"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2"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2"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2"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2"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2"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2"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2"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2"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2"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2"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2"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2"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2"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2"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2"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2"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2"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2"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2"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2"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2"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2"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2"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2"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2"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2"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2"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2"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2"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2"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2"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2"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2"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2"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2"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2"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2"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2"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2"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2"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2"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2"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2"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2"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2"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2"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2"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2"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2"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2"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2"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2"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2"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2"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2"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2"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2"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2"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2"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2"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2"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2"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2"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2"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2"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2"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2"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2"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2"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2"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2"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2"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2"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2"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2"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2"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2"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2"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2"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2"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2"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2"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2"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2"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2"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2"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2"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2"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2"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2"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2"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2"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2"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2"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2"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2"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2"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2"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2"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2"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2"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2"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2"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2"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2"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2"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2"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2"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2"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2"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2"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2"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2"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2"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2"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2"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2"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2"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2"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2"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2"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2"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2"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2"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2"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2"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2"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2"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2"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2"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2"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2"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2"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2"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2"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2"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2"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2"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2"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2"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2"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2"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2"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2"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2"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2"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2"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2"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2"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2"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2"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2"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2"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2"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2"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2"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2"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2"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2"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2"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2"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2"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2"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2"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2"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2"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2"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2"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2"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2"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2"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2"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2"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2"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2"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2"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2"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2"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2"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2"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2"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2"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2"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2"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2"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2"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2"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2"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2"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2"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2"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2"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2"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2"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2"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2"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2"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2"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2"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2"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2"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2"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2"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2"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2"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2"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2"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2"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2"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2"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2"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2"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2"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2"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2"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2"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2"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2"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2"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2"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2"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2"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2"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2"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2"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2"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2"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2"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2"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2"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2"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2"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2"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2"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2"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2"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2"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2"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2"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2"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2"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2"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2"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2"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2"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2"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2"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2"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2"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2"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2"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2"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2"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2"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2"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2"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2"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2"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2"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2"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2"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2"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2"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2"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2"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2"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2"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2"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2"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2"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2"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2"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2"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2"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2"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2"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2"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2"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2"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2"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2"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2"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2"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2"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2"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2"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2"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2"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2"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sheetData>
  <sheetProtection algorithmName="SHA-512" hashValue="hO6fw7PfAnVEgokuPfs+TYSSBMCfTPkyPh+siqVGYLjipJ+uk1GC7cSAfxDPuC+EZEOzAP1lW504hzK2zoipAg==" saltValue="Jv7eaorMsH+PZfPm1223zw==" spinCount="100000" sheet="1" objects="1" scenarios="1"/>
  <mergeCells count="249">
    <mergeCell ref="B30:C30"/>
    <mergeCell ref="E30:F30"/>
    <mergeCell ref="G30:H30"/>
    <mergeCell ref="I30:J30"/>
    <mergeCell ref="P30:Q30"/>
    <mergeCell ref="B31:C31"/>
    <mergeCell ref="I31:J31"/>
    <mergeCell ref="P31:Q31"/>
    <mergeCell ref="E31:F31"/>
    <mergeCell ref="G31:H31"/>
    <mergeCell ref="N30:O30"/>
    <mergeCell ref="N31:O31"/>
    <mergeCell ref="L5:Q5"/>
    <mergeCell ref="D6:H6"/>
    <mergeCell ref="L6:Q6"/>
    <mergeCell ref="D9:E9"/>
    <mergeCell ref="D10:E10"/>
    <mergeCell ref="K20:Q20"/>
    <mergeCell ref="K21:L21"/>
    <mergeCell ref="N22:P22"/>
    <mergeCell ref="M27:N27"/>
    <mergeCell ref="L7:Q7"/>
    <mergeCell ref="L9:Q9"/>
    <mergeCell ref="L10:Q10"/>
    <mergeCell ref="L12:Q13"/>
    <mergeCell ref="L14:Q15"/>
    <mergeCell ref="J16:K16"/>
    <mergeCell ref="P16:Q16"/>
    <mergeCell ref="L8:Q8"/>
    <mergeCell ref="B29:C29"/>
    <mergeCell ref="E29:F29"/>
    <mergeCell ref="G29:H29"/>
    <mergeCell ref="I29:J29"/>
    <mergeCell ref="N29:O29"/>
    <mergeCell ref="P29:Q29"/>
    <mergeCell ref="E16:H16"/>
    <mergeCell ref="D20:G20"/>
    <mergeCell ref="D21:E21"/>
    <mergeCell ref="F22:G22"/>
    <mergeCell ref="A28:C28"/>
    <mergeCell ref="D28:F28"/>
    <mergeCell ref="G28:H28"/>
    <mergeCell ref="I28:J28"/>
    <mergeCell ref="K28:L28"/>
    <mergeCell ref="N28:O28"/>
    <mergeCell ref="P28:Q28"/>
    <mergeCell ref="A40:D40"/>
    <mergeCell ref="E40:G40"/>
    <mergeCell ref="A45:D45"/>
    <mergeCell ref="E45:G45"/>
    <mergeCell ref="H45:I45"/>
    <mergeCell ref="E46:G46"/>
    <mergeCell ref="I52:J52"/>
    <mergeCell ref="N32:O32"/>
    <mergeCell ref="P32:Q32"/>
    <mergeCell ref="I33:J33"/>
    <mergeCell ref="J34:L34"/>
    <mergeCell ref="L35:N35"/>
    <mergeCell ref="A38:D38"/>
    <mergeCell ref="E38:G38"/>
    <mergeCell ref="H38:I38"/>
    <mergeCell ref="E39:G39"/>
    <mergeCell ref="A39:D39"/>
    <mergeCell ref="B32:C32"/>
    <mergeCell ref="E32:F32"/>
    <mergeCell ref="G32:H32"/>
    <mergeCell ref="I32:J32"/>
    <mergeCell ref="G33:H33"/>
    <mergeCell ref="P52:Q52"/>
    <mergeCell ref="B54:C54"/>
    <mergeCell ref="E54:F54"/>
    <mergeCell ref="A46:D46"/>
    <mergeCell ref="A47:D47"/>
    <mergeCell ref="E47:G47"/>
    <mergeCell ref="A50:H51"/>
    <mergeCell ref="A52:C52"/>
    <mergeCell ref="D52:F52"/>
    <mergeCell ref="G52:H52"/>
    <mergeCell ref="B53:C53"/>
    <mergeCell ref="E53:F53"/>
    <mergeCell ref="G53:H53"/>
    <mergeCell ref="M53:N53"/>
    <mergeCell ref="P53:Q53"/>
    <mergeCell ref="K52:L52"/>
    <mergeCell ref="M52:N52"/>
    <mergeCell ref="G59:H59"/>
    <mergeCell ref="I59:J59"/>
    <mergeCell ref="M59:N59"/>
    <mergeCell ref="G54:H54"/>
    <mergeCell ref="I54:J54"/>
    <mergeCell ref="P54:Q54"/>
    <mergeCell ref="I55:J55"/>
    <mergeCell ref="P55:Q55"/>
    <mergeCell ref="P59:Q59"/>
    <mergeCell ref="I56:J56"/>
    <mergeCell ref="I57:J57"/>
    <mergeCell ref="I53:J53"/>
    <mergeCell ref="E59:F59"/>
    <mergeCell ref="B59:C59"/>
    <mergeCell ref="B58:C58"/>
    <mergeCell ref="E58:F58"/>
    <mergeCell ref="G58:H58"/>
    <mergeCell ref="I58:J58"/>
    <mergeCell ref="E57:F57"/>
    <mergeCell ref="G57:H57"/>
    <mergeCell ref="E55:F55"/>
    <mergeCell ref="G55:H55"/>
    <mergeCell ref="B56:C56"/>
    <mergeCell ref="E56:F56"/>
    <mergeCell ref="G56:H56"/>
    <mergeCell ref="B55:C55"/>
    <mergeCell ref="B57:C57"/>
    <mergeCell ref="P60:Q60"/>
    <mergeCell ref="M54:N54"/>
    <mergeCell ref="M55:N55"/>
    <mergeCell ref="M56:N56"/>
    <mergeCell ref="P56:Q56"/>
    <mergeCell ref="M57:N57"/>
    <mergeCell ref="P57:Q57"/>
    <mergeCell ref="M58:N58"/>
    <mergeCell ref="P58:Q58"/>
    <mergeCell ref="B60:C60"/>
    <mergeCell ref="E62:F62"/>
    <mergeCell ref="G62:H62"/>
    <mergeCell ref="M61:N61"/>
    <mergeCell ref="M62:N62"/>
    <mergeCell ref="B61:C61"/>
    <mergeCell ref="E61:F61"/>
    <mergeCell ref="G61:H61"/>
    <mergeCell ref="I61:J61"/>
    <mergeCell ref="E60:F60"/>
    <mergeCell ref="G60:H60"/>
    <mergeCell ref="I60:J60"/>
    <mergeCell ref="M60:N60"/>
    <mergeCell ref="A75:C75"/>
    <mergeCell ref="A76:C76"/>
    <mergeCell ref="P61:Q61"/>
    <mergeCell ref="B62:C62"/>
    <mergeCell ref="P62:Q62"/>
    <mergeCell ref="E74:F74"/>
    <mergeCell ref="E75:F75"/>
    <mergeCell ref="K74:M74"/>
    <mergeCell ref="O74:P74"/>
    <mergeCell ref="I62:J62"/>
    <mergeCell ref="A65:P66"/>
    <mergeCell ref="A71:P72"/>
    <mergeCell ref="C73:D73"/>
    <mergeCell ref="A74:C74"/>
    <mergeCell ref="G74:H74"/>
    <mergeCell ref="O75:P75"/>
    <mergeCell ref="G75:H75"/>
    <mergeCell ref="K75:M75"/>
    <mergeCell ref="K76:M76"/>
    <mergeCell ref="O76:P76"/>
    <mergeCell ref="E76:F76"/>
    <mergeCell ref="G76:H76"/>
    <mergeCell ref="K77:M77"/>
    <mergeCell ref="O77:P77"/>
    <mergeCell ref="O78:P78"/>
    <mergeCell ref="E77:F77"/>
    <mergeCell ref="E78:F78"/>
    <mergeCell ref="K78:M78"/>
    <mergeCell ref="K84:M84"/>
    <mergeCell ref="O84:P84"/>
    <mergeCell ref="O81:P81"/>
    <mergeCell ref="O82:P82"/>
    <mergeCell ref="K79:M79"/>
    <mergeCell ref="O79:P79"/>
    <mergeCell ref="K80:M80"/>
    <mergeCell ref="O80:P80"/>
    <mergeCell ref="K81:M81"/>
    <mergeCell ref="K82:M82"/>
    <mergeCell ref="K83:M83"/>
    <mergeCell ref="O83:P83"/>
    <mergeCell ref="A77:C77"/>
    <mergeCell ref="G77:H77"/>
    <mergeCell ref="G78:H78"/>
    <mergeCell ref="A78:C78"/>
    <mergeCell ref="A79:C79"/>
    <mergeCell ref="A80:C80"/>
    <mergeCell ref="A81:C81"/>
    <mergeCell ref="A82:C82"/>
    <mergeCell ref="A83:C83"/>
    <mergeCell ref="E79:F79"/>
    <mergeCell ref="G79:H79"/>
    <mergeCell ref="E80:F80"/>
    <mergeCell ref="G80:H80"/>
    <mergeCell ref="G81:H81"/>
    <mergeCell ref="E81:F81"/>
    <mergeCell ref="E82:F82"/>
    <mergeCell ref="E83:F83"/>
    <mergeCell ref="G82:H82"/>
    <mergeCell ref="G83:H83"/>
    <mergeCell ref="A84:C84"/>
    <mergeCell ref="D112:E112"/>
    <mergeCell ref="E117:F117"/>
    <mergeCell ref="F101:G101"/>
    <mergeCell ref="F102:G102"/>
    <mergeCell ref="F103:G103"/>
    <mergeCell ref="H103:I103"/>
    <mergeCell ref="F104:G104"/>
    <mergeCell ref="H104:I104"/>
    <mergeCell ref="H105:I105"/>
    <mergeCell ref="H106:I106"/>
    <mergeCell ref="E114:Q114"/>
    <mergeCell ref="E115:Q115"/>
    <mergeCell ref="F105:G105"/>
    <mergeCell ref="F106:G106"/>
    <mergeCell ref="F108:G108"/>
    <mergeCell ref="D111:E111"/>
    <mergeCell ref="J93:O94"/>
    <mergeCell ref="A96:B96"/>
    <mergeCell ref="H96:I96"/>
    <mergeCell ref="P96:Q96"/>
    <mergeCell ref="E84:F84"/>
    <mergeCell ref="G84:H84"/>
    <mergeCell ref="A97:B97"/>
    <mergeCell ref="H97:I97"/>
    <mergeCell ref="P97:Q97"/>
    <mergeCell ref="A98:B98"/>
    <mergeCell ref="F98:G98"/>
    <mergeCell ref="H98:I98"/>
    <mergeCell ref="P98:Q98"/>
    <mergeCell ref="F99:G99"/>
    <mergeCell ref="H99:I99"/>
    <mergeCell ref="P99:Q99"/>
    <mergeCell ref="P100:Q100"/>
    <mergeCell ref="P101:Q101"/>
    <mergeCell ref="P102:Q102"/>
    <mergeCell ref="P103:Q103"/>
    <mergeCell ref="P104:Q104"/>
    <mergeCell ref="P105:Q105"/>
    <mergeCell ref="P106:Q106"/>
    <mergeCell ref="P107:Q107"/>
    <mergeCell ref="A99:B99"/>
    <mergeCell ref="A100:B100"/>
    <mergeCell ref="F100:G100"/>
    <mergeCell ref="H100:I100"/>
    <mergeCell ref="A101:B101"/>
    <mergeCell ref="H101:I101"/>
    <mergeCell ref="H102:I102"/>
    <mergeCell ref="H107:I107"/>
    <mergeCell ref="A102:B102"/>
    <mergeCell ref="A103:B103"/>
    <mergeCell ref="A104:B104"/>
    <mergeCell ref="A105:B105"/>
    <mergeCell ref="A106:B106"/>
    <mergeCell ref="A107:B107"/>
    <mergeCell ref="F107:G107"/>
  </mergeCells>
  <dataValidations count="5">
    <dataValidation type="list" allowBlank="1" showInputMessage="1" showErrorMessage="1" prompt="X or nothing" sqref="H111" xr:uid="{00000000-0002-0000-0500-000000000000}">
      <formula1>"X"</formula1>
    </dataValidation>
    <dataValidation type="list" allowBlank="1" showErrorMessage="1" sqref="D13:D15" xr:uid="{00000000-0002-0000-0500-000001000000}">
      <formula1>"English,Deutsch"</formula1>
    </dataValidation>
    <dataValidation type="list" allowBlank="1" showInputMessage="1" showErrorMessage="1" prompt="Y or N" sqref="N11 Q94" xr:uid="{00000000-0002-0000-0500-000002000000}">
      <formula1>"Y,N"</formula1>
    </dataValidation>
    <dataValidation type="list" allowBlank="1" showInputMessage="1" showErrorMessage="1" prompt="location - M for verification at manufacturer site_x000a_I for verification at installation site" sqref="J18" xr:uid="{00000000-0002-0000-0500-000003000000}">
      <formula1>$R$17:$R$18</formula1>
    </dataValidation>
    <dataValidation type="list" allowBlank="1" showInputMessage="1" showErrorMessage="1" prompt="&lt;=4 , 6 , 8  or 10" sqref="G94" xr:uid="{00000000-0002-0000-0500-000004000000}">
      <formula1>"4,6,8,10"</formula1>
    </dataValidation>
  </dataValidations>
  <pageMargins left="0.23622047244094491" right="0.23622047244094491" top="0.74803149606299213" bottom="0.74803149606299213" header="0" footer="0"/>
  <pageSetup paperSize="9" fitToHeight="0" orientation="portrait" r:id="rId1"/>
  <headerFooter>
    <oddFooter>&amp;L&amp;F&amp;CPage &amp;P / &amp;R&amp;D</oddFooter>
  </headerFooter>
  <rowBreaks count="2" manualBreakCount="2">
    <brk id="49" max="16383" man="1"/>
    <brk id="108" max="16383"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B1000"/>
  <sheetViews>
    <sheetView view="pageBreakPreview" zoomScale="118" zoomScaleNormal="100" zoomScaleSheetLayoutView="118" workbookViewId="0">
      <selection activeCell="P19" sqref="P19"/>
    </sheetView>
  </sheetViews>
  <sheetFormatPr defaultColWidth="12.5703125" defaultRowHeight="15" customHeight="1"/>
  <cols>
    <col min="1" max="1" width="5.28515625" customWidth="1"/>
    <col min="2" max="2" width="6.28515625" customWidth="1"/>
    <col min="3" max="4" width="5.85546875" customWidth="1"/>
    <col min="5" max="5" width="8.85546875" customWidth="1"/>
    <col min="6" max="6" width="5.7109375" customWidth="1"/>
    <col min="7" max="7" width="6.28515625" customWidth="1"/>
    <col min="8" max="8" width="6.5703125" customWidth="1"/>
    <col min="9" max="9" width="6.28515625" customWidth="1"/>
    <col min="10" max="10" width="6.5703125" customWidth="1"/>
    <col min="11" max="11" width="5.85546875" customWidth="1"/>
    <col min="12" max="12" width="4.42578125" customWidth="1"/>
    <col min="13" max="14" width="3.85546875" customWidth="1"/>
    <col min="15" max="15" width="2.5703125" customWidth="1"/>
    <col min="16" max="16" width="4.140625" customWidth="1"/>
    <col min="17" max="17" width="4.5703125" customWidth="1"/>
    <col min="18" max="18" width="9.140625" hidden="1" customWidth="1"/>
    <col min="19" max="28" width="9.140625" customWidth="1"/>
  </cols>
  <sheetData>
    <row r="1" spans="1:28" s="197" customFormat="1" ht="17.25" customHeight="1">
      <c r="A1" s="206"/>
      <c r="B1" s="206"/>
      <c r="C1" s="206"/>
      <c r="D1" s="206"/>
      <c r="E1" s="206"/>
      <c r="F1" s="206"/>
      <c r="G1" s="195"/>
      <c r="H1" s="195"/>
      <c r="I1" s="195"/>
      <c r="J1" s="195"/>
      <c r="K1" s="195"/>
      <c r="L1" s="195"/>
      <c r="M1" s="195"/>
      <c r="N1" s="195"/>
      <c r="O1" s="195"/>
      <c r="P1" s="195"/>
      <c r="Q1" s="196" t="str">
        <f>IF($D$13="English","Test Report - Single Range Truck Scale","Test Report - Einbereich-Fahrzeugwaage")</f>
        <v>Test Report - Single Range Truck Scale</v>
      </c>
      <c r="R1" s="195"/>
      <c r="S1" s="195"/>
      <c r="T1" s="195"/>
      <c r="U1" s="195"/>
      <c r="V1" s="195"/>
      <c r="W1" s="195"/>
      <c r="X1" s="195"/>
      <c r="Y1" s="195"/>
      <c r="Z1" s="195"/>
      <c r="AA1" s="195"/>
      <c r="AB1" s="195"/>
    </row>
    <row r="2" spans="1:28" s="197" customFormat="1" ht="17.25" customHeight="1">
      <c r="A2" s="206"/>
      <c r="B2" s="206"/>
      <c r="C2" s="206"/>
      <c r="D2" s="206"/>
      <c r="E2" s="206"/>
      <c r="F2" s="206"/>
      <c r="G2" s="195"/>
      <c r="H2" s="195"/>
      <c r="I2" s="195"/>
      <c r="J2" s="195"/>
      <c r="K2" s="195"/>
      <c r="L2" s="195"/>
      <c r="M2" s="195"/>
      <c r="N2" s="195"/>
      <c r="O2" s="195"/>
      <c r="P2" s="195"/>
      <c r="Q2" s="196" t="str">
        <f>IF($D$13="English","with gravity compensation","mit Kompensation von g")</f>
        <v>with gravity compensation</v>
      </c>
      <c r="R2" s="195"/>
      <c r="S2" s="195"/>
      <c r="T2" s="195"/>
      <c r="U2" s="195"/>
      <c r="V2" s="195"/>
      <c r="W2" s="195"/>
      <c r="X2" s="195"/>
      <c r="Y2" s="195"/>
      <c r="Z2" s="195"/>
      <c r="AA2" s="195"/>
      <c r="AB2" s="195"/>
    </row>
    <row r="3" spans="1:28" ht="12" customHeight="1">
      <c r="A3" s="207"/>
      <c r="B3" s="207"/>
      <c r="C3" s="207"/>
      <c r="D3" s="207"/>
      <c r="E3" s="207"/>
      <c r="F3" s="207"/>
      <c r="G3" s="1"/>
      <c r="H3" s="1"/>
      <c r="I3" s="1"/>
      <c r="J3" s="1" t="str">
        <f>IF($D$13="English","Accuracy Class","Genauigkeitsklasse")</f>
        <v>Accuracy Class</v>
      </c>
      <c r="K3" s="1"/>
      <c r="L3" s="1"/>
      <c r="M3" s="1" t="s">
        <v>4</v>
      </c>
      <c r="N3" s="1"/>
      <c r="O3" s="4"/>
      <c r="P3" s="5"/>
      <c r="Q3" s="4"/>
      <c r="R3" s="1"/>
      <c r="S3" s="1"/>
      <c r="T3" s="1"/>
      <c r="U3" s="1"/>
      <c r="V3" s="1"/>
      <c r="W3" s="1"/>
      <c r="X3" s="1"/>
      <c r="Y3" s="1"/>
      <c r="Z3" s="1"/>
      <c r="AA3" s="1"/>
      <c r="AB3" s="1"/>
    </row>
    <row r="4" spans="1:28" ht="12" customHeight="1">
      <c r="A4" s="209"/>
      <c r="B4" s="209"/>
      <c r="C4" s="209"/>
      <c r="D4" s="208"/>
      <c r="E4" s="208"/>
      <c r="F4" s="208"/>
      <c r="G4" s="1"/>
      <c r="H4" s="1"/>
      <c r="I4" s="1"/>
      <c r="J4" s="1"/>
      <c r="K4" s="1"/>
      <c r="L4" s="1"/>
      <c r="M4" s="1"/>
      <c r="N4" s="1"/>
      <c r="O4" s="1"/>
      <c r="P4" s="6"/>
      <c r="Q4" s="1"/>
      <c r="R4" s="1"/>
      <c r="S4" s="1"/>
      <c r="T4" s="1"/>
      <c r="U4" s="1"/>
      <c r="V4" s="1"/>
      <c r="W4" s="1"/>
      <c r="X4" s="1"/>
      <c r="Y4" s="1"/>
      <c r="Z4" s="1"/>
      <c r="AA4" s="1"/>
      <c r="AB4" s="1"/>
    </row>
    <row r="5" spans="1:28" ht="12" customHeight="1">
      <c r="A5" s="5"/>
      <c r="B5" s="1"/>
      <c r="C5" s="1"/>
      <c r="D5" s="1"/>
      <c r="E5" s="1"/>
      <c r="F5" s="1"/>
      <c r="G5" s="1"/>
      <c r="H5" s="1"/>
      <c r="I5" s="1"/>
      <c r="J5" s="1"/>
      <c r="K5" s="9" t="str">
        <f>IF($D$13="English","Test Date:","Testdatum")</f>
        <v>Test Date:</v>
      </c>
      <c r="L5" s="243"/>
      <c r="M5" s="336"/>
      <c r="N5" s="336"/>
      <c r="O5" s="336"/>
      <c r="P5" s="336"/>
      <c r="Q5" s="337"/>
      <c r="R5" s="1"/>
      <c r="S5" s="1"/>
      <c r="T5" s="1"/>
      <c r="U5" s="1"/>
      <c r="V5" s="1"/>
      <c r="W5" s="1"/>
      <c r="X5" s="1"/>
      <c r="Y5" s="1"/>
      <c r="Z5" s="1"/>
      <c r="AA5" s="1"/>
      <c r="AB5" s="1"/>
    </row>
    <row r="6" spans="1:28" ht="12" customHeight="1">
      <c r="A6" s="1"/>
      <c r="B6" s="1"/>
      <c r="C6" s="9" t="str">
        <f>IF($D$13="English","Part No.:","Modell Nr.")</f>
        <v>Part No.:</v>
      </c>
      <c r="D6" s="275"/>
      <c r="E6" s="338"/>
      <c r="F6" s="338"/>
      <c r="G6" s="338"/>
      <c r="H6" s="339"/>
      <c r="I6" s="1"/>
      <c r="J6" s="1"/>
      <c r="K6" s="9" t="str">
        <f>IF($D$13="English","Test Officer:","RVO")</f>
        <v>Test Officer:</v>
      </c>
      <c r="L6" s="214"/>
      <c r="M6" s="340"/>
      <c r="N6" s="340"/>
      <c r="O6" s="340"/>
      <c r="P6" s="340"/>
      <c r="Q6" s="341"/>
      <c r="R6" s="1"/>
      <c r="S6" s="1"/>
      <c r="T6" s="1"/>
      <c r="U6" s="1"/>
      <c r="V6" s="1"/>
      <c r="W6" s="1"/>
      <c r="X6" s="1"/>
      <c r="Y6" s="1"/>
      <c r="Z6" s="1"/>
      <c r="AA6" s="1"/>
      <c r="AB6" s="1"/>
    </row>
    <row r="7" spans="1:28" ht="12" customHeight="1">
      <c r="A7" s="1"/>
      <c r="B7" s="1"/>
      <c r="G7" s="1"/>
      <c r="H7" s="1"/>
      <c r="I7" s="1"/>
      <c r="J7" s="1"/>
      <c r="K7" s="9" t="str">
        <f>IF($D$13="English","Scale No.","Waagen S/N.")</f>
        <v>Scale No.</v>
      </c>
      <c r="L7" s="214"/>
      <c r="M7" s="340"/>
      <c r="N7" s="340"/>
      <c r="O7" s="340"/>
      <c r="P7" s="340"/>
      <c r="Q7" s="341"/>
      <c r="R7" s="1"/>
      <c r="S7" s="1"/>
      <c r="T7" s="1"/>
      <c r="U7" s="1"/>
      <c r="V7" s="1"/>
      <c r="W7" s="1"/>
      <c r="X7" s="1"/>
      <c r="Y7" s="1"/>
      <c r="Z7" s="1"/>
      <c r="AA7" s="1"/>
      <c r="AB7" s="1"/>
    </row>
    <row r="8" spans="1:28" ht="12" customHeight="1">
      <c r="A8" s="1"/>
      <c r="B8" s="1"/>
      <c r="G8" s="1"/>
      <c r="H8" s="1"/>
      <c r="I8" s="1"/>
      <c r="J8" s="1"/>
      <c r="K8" s="9" t="str">
        <f>IF($D$13="English","Indicator S/N.","Waagen S/N.")</f>
        <v>Indicator S/N.</v>
      </c>
      <c r="L8" s="214"/>
      <c r="M8" s="340"/>
      <c r="N8" s="340"/>
      <c r="O8" s="340"/>
      <c r="P8" s="340"/>
      <c r="Q8" s="341"/>
      <c r="R8" s="1"/>
      <c r="S8" s="1"/>
      <c r="T8" s="1"/>
      <c r="U8" s="1"/>
      <c r="V8" s="1"/>
      <c r="W8" s="1"/>
      <c r="X8" s="1"/>
      <c r="Y8" s="1"/>
      <c r="Z8" s="1"/>
      <c r="AA8" s="1"/>
      <c r="AB8" s="1"/>
    </row>
    <row r="9" spans="1:28" ht="12" customHeight="1">
      <c r="A9" s="1"/>
      <c r="B9" s="1"/>
      <c r="C9" s="6" t="s">
        <v>98</v>
      </c>
      <c r="D9" s="287"/>
      <c r="E9" s="342"/>
      <c r="F9" s="1" t="s">
        <v>11</v>
      </c>
      <c r="G9" s="1"/>
      <c r="H9" s="1"/>
      <c r="I9" s="1"/>
      <c r="J9" s="1"/>
      <c r="K9" s="9" t="str">
        <f>IF($D$13="English","TAC(Type Approval Certificate) Indicator","Bauartzulassung Wägeelektronik")</f>
        <v>TAC(Type Approval Certificate) Indicator</v>
      </c>
      <c r="L9" s="214"/>
      <c r="M9" s="340"/>
      <c r="N9" s="340"/>
      <c r="O9" s="340"/>
      <c r="P9" s="340"/>
      <c r="Q9" s="341"/>
      <c r="R9" s="1"/>
      <c r="S9" s="1"/>
      <c r="T9" s="1"/>
      <c r="U9" s="1"/>
      <c r="V9" s="1"/>
      <c r="W9" s="1"/>
      <c r="X9" s="1"/>
      <c r="Y9" s="1"/>
      <c r="Z9" s="1"/>
      <c r="AA9" s="1"/>
      <c r="AB9" s="1"/>
    </row>
    <row r="10" spans="1:28" ht="12" customHeight="1">
      <c r="A10" s="1"/>
      <c r="B10" s="1"/>
      <c r="C10" s="6" t="s">
        <v>99</v>
      </c>
      <c r="D10" s="288"/>
      <c r="E10" s="343"/>
      <c r="F10" s="1" t="s">
        <v>11</v>
      </c>
      <c r="G10" s="1"/>
      <c r="H10" s="1"/>
      <c r="I10" s="1"/>
      <c r="J10" s="1"/>
      <c r="K10" s="9" t="str">
        <f>IF($D$13="English","Firmware type and version:","Wägeelektronik Programm und Version")</f>
        <v>Firmware type and version:</v>
      </c>
      <c r="L10" s="214"/>
      <c r="M10" s="340"/>
      <c r="N10" s="340"/>
      <c r="O10" s="340"/>
      <c r="P10" s="340"/>
      <c r="Q10" s="341"/>
      <c r="R10" s="1"/>
      <c r="S10" s="1"/>
      <c r="T10" s="1"/>
      <c r="U10" s="1"/>
      <c r="V10" s="1"/>
      <c r="W10" s="1"/>
      <c r="X10" s="1"/>
      <c r="Y10" s="1"/>
      <c r="Z10" s="1"/>
      <c r="AA10" s="1"/>
      <c r="AB10" s="1"/>
    </row>
    <row r="11" spans="1:28" ht="12" customHeight="1">
      <c r="A11" s="1"/>
      <c r="B11" s="1"/>
      <c r="C11" s="6"/>
      <c r="D11" s="1"/>
      <c r="E11" s="1"/>
      <c r="F11" s="1"/>
      <c r="G11" s="1"/>
      <c r="H11" s="1"/>
      <c r="I11" s="1"/>
      <c r="J11" s="6"/>
      <c r="K11" s="6"/>
      <c r="L11" s="1"/>
      <c r="M11" s="120" t="str">
        <f>IF($D$13="English","Test Weight Calibrations Current?","Standardgewichte kalibriert?")</f>
        <v>Test Weight Calibrations Current?</v>
      </c>
      <c r="N11" s="181"/>
      <c r="O11" s="1"/>
      <c r="P11" s="1"/>
      <c r="Q11" s="1"/>
      <c r="R11" s="1"/>
      <c r="S11" s="1"/>
      <c r="T11" s="1"/>
      <c r="U11" s="1"/>
      <c r="V11" s="1"/>
      <c r="W11" s="1"/>
      <c r="X11" s="1"/>
      <c r="Y11" s="1"/>
      <c r="Z11" s="1"/>
      <c r="AA11" s="1"/>
      <c r="AB11" s="1"/>
    </row>
    <row r="12" spans="1:28" ht="12" customHeight="1">
      <c r="A12" s="1"/>
      <c r="B12" s="1"/>
      <c r="C12" s="1"/>
      <c r="D12" s="1"/>
      <c r="E12" s="1"/>
      <c r="F12" s="1"/>
      <c r="G12" s="1"/>
      <c r="H12" s="1"/>
      <c r="K12" s="9" t="str">
        <f>IF($D$13="English","Set-No. of Standard-Weights in use","Set-Nr. der Standardgewichte")</f>
        <v>Set-No. of Standard-Weights in use</v>
      </c>
      <c r="L12" s="247"/>
      <c r="M12" s="345"/>
      <c r="N12" s="345"/>
      <c r="O12" s="345"/>
      <c r="P12" s="345"/>
      <c r="Q12" s="346"/>
      <c r="R12" s="1"/>
      <c r="S12" s="1"/>
      <c r="T12" s="1"/>
      <c r="U12" s="1"/>
      <c r="V12" s="1"/>
      <c r="W12" s="1"/>
      <c r="X12" s="1"/>
      <c r="Y12" s="1"/>
      <c r="Z12" s="1"/>
      <c r="AA12" s="1"/>
      <c r="AB12" s="1"/>
    </row>
    <row r="13" spans="1:28" ht="12" customHeight="1">
      <c r="A13" s="14" t="s">
        <v>19</v>
      </c>
      <c r="B13" s="1"/>
      <c r="C13" s="1"/>
      <c r="D13" s="174" t="s">
        <v>0</v>
      </c>
      <c r="E13" s="1"/>
      <c r="F13" s="1"/>
      <c r="G13" s="1"/>
      <c r="H13" s="1"/>
      <c r="L13" s="347"/>
      <c r="M13" s="348"/>
      <c r="N13" s="348"/>
      <c r="O13" s="348"/>
      <c r="P13" s="348"/>
      <c r="Q13" s="349"/>
      <c r="R13" s="1"/>
      <c r="S13" s="1"/>
      <c r="T13" s="1"/>
      <c r="U13" s="1"/>
      <c r="V13" s="1"/>
      <c r="W13" s="1"/>
      <c r="X13" s="1"/>
      <c r="Y13" s="1"/>
      <c r="Z13" s="1"/>
      <c r="AA13" s="1"/>
      <c r="AB13" s="1"/>
    </row>
    <row r="14" spans="1:28" ht="12" customHeight="1">
      <c r="A14" s="14"/>
      <c r="B14" s="1"/>
      <c r="C14" s="1"/>
      <c r="D14" s="16"/>
      <c r="E14" s="1"/>
      <c r="F14" s="1"/>
      <c r="G14" s="1"/>
      <c r="H14" s="1"/>
      <c r="K14" s="9" t="str">
        <f>IF($D$13="English","Set-No. Small Weights in use","Set-Nr. der kleinen Gewichte")</f>
        <v>Set-No. Small Weights in use</v>
      </c>
      <c r="L14" s="247"/>
      <c r="M14" s="345"/>
      <c r="N14" s="345"/>
      <c r="O14" s="345"/>
      <c r="P14" s="345"/>
      <c r="Q14" s="346"/>
      <c r="R14" s="1"/>
      <c r="S14" s="1"/>
      <c r="T14" s="1"/>
      <c r="U14" s="1"/>
      <c r="V14" s="1"/>
      <c r="W14" s="1"/>
      <c r="X14" s="1"/>
      <c r="Y14" s="1"/>
      <c r="Z14" s="1"/>
      <c r="AA14" s="1"/>
      <c r="AB14" s="1"/>
    </row>
    <row r="15" spans="1:28" ht="12" customHeight="1">
      <c r="A15" s="14"/>
      <c r="B15" s="1"/>
      <c r="C15" s="1"/>
      <c r="D15" s="16"/>
      <c r="E15" s="1"/>
      <c r="F15" s="1"/>
      <c r="G15" s="1"/>
      <c r="H15" s="1"/>
      <c r="K15" s="1"/>
      <c r="L15" s="350"/>
      <c r="M15" s="351"/>
      <c r="N15" s="351"/>
      <c r="O15" s="351"/>
      <c r="P15" s="351"/>
      <c r="Q15" s="352"/>
      <c r="R15" s="1"/>
      <c r="S15" s="1"/>
      <c r="T15" s="1"/>
      <c r="U15" s="1"/>
      <c r="V15" s="1"/>
      <c r="W15" s="1"/>
      <c r="X15" s="1"/>
      <c r="Y15" s="1"/>
      <c r="Z15" s="1"/>
      <c r="AA15" s="1"/>
      <c r="AB15" s="1"/>
    </row>
    <row r="16" spans="1:28" ht="17.25" customHeight="1">
      <c r="A16" s="7" t="str">
        <f>IF($D$13="English","Load Cell","Wägezelle")</f>
        <v>Load Cell</v>
      </c>
      <c r="B16" s="1"/>
      <c r="C16" s="1" t="str">
        <f>IF($D$13="English","Manufacturer","Hersteller")</f>
        <v>Manufacturer</v>
      </c>
      <c r="D16" s="6"/>
      <c r="E16" s="240"/>
      <c r="F16" s="356"/>
      <c r="G16" s="356"/>
      <c r="H16" s="357"/>
      <c r="I16" s="1" t="s">
        <v>22</v>
      </c>
      <c r="J16" s="253"/>
      <c r="K16" s="353"/>
      <c r="L16" s="1" t="str">
        <f>IF($D$13="English","Total number:","Gesamtanzahl:")</f>
        <v>Total number:</v>
      </c>
      <c r="M16" s="6"/>
      <c r="N16" s="6"/>
      <c r="O16" s="1"/>
      <c r="P16" s="354"/>
      <c r="Q16" s="355"/>
      <c r="R16" s="1"/>
      <c r="S16" s="1"/>
      <c r="T16" s="1"/>
      <c r="U16" s="1"/>
      <c r="V16" s="1"/>
      <c r="W16" s="1"/>
      <c r="X16" s="1"/>
      <c r="Y16" s="1"/>
      <c r="Z16" s="1"/>
      <c r="AA16" s="1"/>
      <c r="AB16" s="1"/>
    </row>
    <row r="17" spans="1:28" ht="12" customHeight="1">
      <c r="A17" s="1"/>
      <c r="B17" s="1"/>
      <c r="C17" s="1"/>
      <c r="D17" s="1"/>
      <c r="E17" s="1"/>
      <c r="F17" s="1"/>
      <c r="G17" s="6"/>
      <c r="J17" s="17"/>
      <c r="K17" s="1"/>
      <c r="L17" s="1"/>
      <c r="M17" s="1"/>
      <c r="N17" s="1"/>
      <c r="O17" s="1"/>
      <c r="P17" s="1"/>
      <c r="Q17" s="1"/>
      <c r="R17" s="1" t="s">
        <v>104</v>
      </c>
      <c r="S17" s="1"/>
      <c r="T17" s="1"/>
      <c r="U17" s="1"/>
      <c r="V17" s="1"/>
      <c r="W17" s="1"/>
      <c r="X17" s="1"/>
      <c r="Y17" s="1"/>
      <c r="Z17" s="1"/>
      <c r="AA17" s="1"/>
      <c r="AB17" s="1"/>
    </row>
    <row r="18" spans="1:28" ht="12" customHeight="1">
      <c r="A18" s="1" t="str">
        <f>IF($D$13="English","location of Verification: M= Manufacturer site - I=Installation site","Ort der Eichung: M=beim Hersteller - I=am Aufstellungsort")</f>
        <v>location of Verification: M= Manufacturer site - I=Installation site</v>
      </c>
      <c r="B18" s="1"/>
      <c r="C18" s="1"/>
      <c r="D18" s="1"/>
      <c r="E18" s="1"/>
      <c r="F18" s="1"/>
      <c r="G18" s="6"/>
      <c r="J18" s="183" t="s">
        <v>27</v>
      </c>
      <c r="K18" s="1"/>
      <c r="L18" s="1"/>
      <c r="M18" s="1"/>
      <c r="N18" s="1"/>
      <c r="O18" s="1"/>
      <c r="P18" s="1"/>
      <c r="Q18" s="1"/>
      <c r="R18" s="1" t="s">
        <v>27</v>
      </c>
      <c r="S18" s="1"/>
      <c r="T18" s="1"/>
      <c r="U18" s="1"/>
      <c r="V18" s="1"/>
      <c r="W18" s="1"/>
      <c r="X18" s="1"/>
      <c r="Y18" s="1"/>
      <c r="Z18" s="1"/>
      <c r="AA18" s="1"/>
      <c r="AB18" s="1"/>
    </row>
    <row r="19" spans="1:28" ht="12" customHeight="1">
      <c r="A19" s="1" t="str">
        <f>IF($D$13="English","link to calculate g:",IF($D$13="Deutsch","Link zum Ermitteln von g:"," "))</f>
        <v>link to calculate g:</v>
      </c>
      <c r="B19" s="1"/>
      <c r="C19" s="1"/>
      <c r="D19" s="1"/>
      <c r="E19" s="1" t="s">
        <v>105</v>
      </c>
      <c r="F19" s="1"/>
      <c r="G19" s="6"/>
      <c r="L19" s="1"/>
      <c r="M19" s="1"/>
      <c r="N19" s="1"/>
      <c r="O19" s="1"/>
      <c r="P19" s="1"/>
      <c r="Q19" s="1"/>
      <c r="R19" s="1"/>
      <c r="S19" s="1"/>
      <c r="T19" s="1"/>
      <c r="U19" s="1"/>
      <c r="V19" s="1"/>
      <c r="W19" s="1"/>
      <c r="X19" s="1"/>
      <c r="Y19" s="1"/>
      <c r="Z19" s="1"/>
      <c r="AA19" s="1"/>
      <c r="AB19" s="1"/>
    </row>
    <row r="20" spans="1:28" ht="12" customHeight="1">
      <c r="A20" s="1" t="str">
        <f>IF($D$13="English",IF($J$18="M","Manufacturer town:"," "),IF($D$13="Deutsch",IF($J$18="M","Hersteller/Prüfungsort:"," ")))</f>
        <v xml:space="preserve"> </v>
      </c>
      <c r="B20" s="1"/>
      <c r="C20" s="1"/>
      <c r="D20" s="310"/>
      <c r="E20" s="215"/>
      <c r="F20" s="215"/>
      <c r="G20" s="216"/>
      <c r="H20" s="1" t="str">
        <f>IF($D$13="English",IF($J$18="M","Installation town:"," "),IF($D$13="Deutsch",IF($J$18="M","Aufstellungsort:"," ")))</f>
        <v xml:space="preserve"> </v>
      </c>
      <c r="I20" s="1"/>
      <c r="J20" s="1"/>
      <c r="K20" s="315"/>
      <c r="L20" s="215"/>
      <c r="M20" s="215"/>
      <c r="N20" s="215"/>
      <c r="O20" s="215"/>
      <c r="P20" s="215"/>
      <c r="Q20" s="216"/>
      <c r="R20" s="1"/>
      <c r="S20" s="1"/>
      <c r="T20" s="1"/>
      <c r="U20" s="1"/>
      <c r="V20" s="1"/>
      <c r="W20" s="1"/>
      <c r="X20" s="1"/>
      <c r="Y20" s="1"/>
      <c r="Z20" s="1"/>
      <c r="AA20" s="1"/>
      <c r="AB20" s="1"/>
    </row>
    <row r="21" spans="1:28" ht="12" customHeight="1">
      <c r="A21" s="1" t="str">
        <f>IF($D$13="English",IF($J$18="M","g at Manufacturer site:","no info needed "),IF($D$13="Deutsch",IF($J$18="M","g Hersteller/Prüfung:","keine Info notwendig")))</f>
        <v xml:space="preserve">no info needed </v>
      </c>
      <c r="B21" s="1"/>
      <c r="C21" s="1"/>
      <c r="D21" s="311"/>
      <c r="E21" s="216"/>
      <c r="F21" s="7" t="s">
        <v>116</v>
      </c>
      <c r="G21" s="6"/>
      <c r="H21" s="1" t="str">
        <f>IF($D$13="English",IF($J$18="M","g at Installation site:"," "),IF($D$13="Deutsch",IF($J$18="M","g am Aufstellungsort:"," ")))</f>
        <v xml:space="preserve"> </v>
      </c>
      <c r="J21" s="17"/>
      <c r="K21" s="344"/>
      <c r="L21" s="302"/>
      <c r="M21" s="7" t="s">
        <v>117</v>
      </c>
      <c r="N21" s="1"/>
      <c r="O21" s="1"/>
      <c r="P21" s="1"/>
      <c r="Q21" s="1"/>
      <c r="R21" s="1"/>
      <c r="S21" s="1"/>
      <c r="T21" s="1"/>
      <c r="U21" s="1"/>
      <c r="V21" s="1"/>
      <c r="W21" s="1"/>
      <c r="X21" s="1"/>
      <c r="Y21" s="1"/>
      <c r="Z21" s="1"/>
      <c r="AA21" s="1"/>
      <c r="AB21" s="1"/>
    </row>
    <row r="22" spans="1:28" ht="12" customHeight="1">
      <c r="A22" s="1" t="str">
        <f>IF($D$13="English",IF($J$18="M","weight control:"," "),IF($D$13="Deutsch",IF($J$18="M","Gewichtskontrolle:"," ")))</f>
        <v xml:space="preserve"> </v>
      </c>
      <c r="B22" s="1"/>
      <c r="C22" s="1"/>
      <c r="D22" s="1" t="str">
        <f>IF($D$13="English",IF($J$18="M","standard weights:"," "),IF($D$13="Deutsch",IF($J$18="M","Kalibriergewicht:"," ")))</f>
        <v xml:space="preserve"> </v>
      </c>
      <c r="E22" s="1"/>
      <c r="F22" s="312"/>
      <c r="G22" s="313"/>
      <c r="H22" s="30" t="s">
        <v>33</v>
      </c>
      <c r="J22" s="1" t="str">
        <f>IF($D$13="English",IF($J$18="M","calculated weight:"," "),IF($D$13="Deutsch",IF($J$18="M","umgerechnetes Gewicht:"," ")))</f>
        <v xml:space="preserve"> </v>
      </c>
      <c r="K22" s="1"/>
      <c r="L22" s="1"/>
      <c r="M22" s="1"/>
      <c r="N22" s="317" t="str">
        <f>IF(F22=""," ",F22*(1-($K$21-$D$21)/$D$21))</f>
        <v xml:space="preserve"> </v>
      </c>
      <c r="O22" s="318"/>
      <c r="P22" s="313"/>
      <c r="Q22" s="30" t="s">
        <v>33</v>
      </c>
      <c r="R22" s="1"/>
      <c r="S22" s="1"/>
      <c r="T22" s="1"/>
      <c r="U22" s="1"/>
      <c r="V22" s="1"/>
      <c r="W22" s="1"/>
      <c r="X22" s="1"/>
      <c r="Y22" s="1"/>
      <c r="Z22" s="1"/>
      <c r="AA22" s="1"/>
      <c r="AB22" s="1"/>
    </row>
    <row r="23" spans="1:28" ht="12" customHeight="1">
      <c r="A23" s="1"/>
      <c r="B23" s="1"/>
      <c r="C23" s="1"/>
      <c r="D23" s="1"/>
      <c r="E23" s="1"/>
      <c r="F23" s="1"/>
      <c r="G23" s="6"/>
      <c r="J23" s="17"/>
      <c r="K23" s="1"/>
      <c r="L23" s="1"/>
      <c r="M23" s="1"/>
      <c r="N23" s="1"/>
      <c r="O23" s="1"/>
      <c r="P23" s="1"/>
      <c r="Q23" s="1"/>
      <c r="R23" s="1"/>
      <c r="S23" s="1"/>
      <c r="T23" s="1"/>
      <c r="U23" s="1"/>
      <c r="V23" s="1"/>
      <c r="W23" s="1"/>
      <c r="X23" s="1"/>
      <c r="Y23" s="1"/>
      <c r="Z23" s="1"/>
      <c r="AA23" s="1"/>
      <c r="AB23" s="1"/>
    </row>
    <row r="24" spans="1:28" ht="12" customHeight="1">
      <c r="A24" s="1"/>
      <c r="B24" s="1"/>
      <c r="C24" s="1"/>
      <c r="D24" s="1"/>
      <c r="E24" s="1"/>
      <c r="F24" s="1"/>
      <c r="G24" s="6"/>
      <c r="J24" s="17"/>
      <c r="K24" s="1"/>
      <c r="L24" s="1"/>
      <c r="M24" s="1"/>
      <c r="N24" s="1"/>
      <c r="O24" s="1"/>
      <c r="P24" s="1"/>
      <c r="Q24" s="1"/>
      <c r="R24" s="1"/>
      <c r="S24" s="1"/>
      <c r="T24" s="1"/>
      <c r="U24" s="1"/>
      <c r="V24" s="1"/>
      <c r="W24" s="1"/>
      <c r="X24" s="1"/>
      <c r="Y24" s="1"/>
      <c r="Z24" s="1"/>
      <c r="AA24" s="1"/>
      <c r="AB24" s="1"/>
    </row>
    <row r="25" spans="1:28" ht="12" customHeight="1">
      <c r="A25" s="7" t="str">
        <f>IF($D$13="English","1. Repeatability Test (indicator in hi-res mode):","1. Prüfung der Wiederholbarkeit (Indikator in Hi-Res-Modus):")</f>
        <v>1. Repeatability Test (indicator in hi-res mode):</v>
      </c>
      <c r="B25" s="1"/>
      <c r="C25" s="6"/>
      <c r="D25" s="8"/>
      <c r="E25" s="8"/>
      <c r="F25" s="1"/>
      <c r="G25" s="1"/>
      <c r="H25" s="1" t="str">
        <f>IF($D$13="English","accordance to EN45501-2015, A.4.10","gemäß EN45501-2015, A.4.10")</f>
        <v>accordance to EN45501-2015, A.4.10</v>
      </c>
      <c r="I25" s="1"/>
      <c r="J25" s="1"/>
      <c r="K25" s="6"/>
      <c r="L25" s="6"/>
      <c r="M25" s="6"/>
      <c r="N25" s="1"/>
      <c r="O25" s="1"/>
      <c r="P25" s="1"/>
      <c r="Q25" s="1"/>
      <c r="R25" s="1"/>
      <c r="S25" s="1"/>
      <c r="T25" s="1"/>
      <c r="U25" s="1"/>
      <c r="V25" s="1"/>
      <c r="W25" s="1"/>
      <c r="X25" s="1"/>
      <c r="Y25" s="1"/>
      <c r="Z25" s="1"/>
      <c r="AA25" s="1"/>
      <c r="AB25" s="1"/>
    </row>
    <row r="26" spans="1:28" ht="12" customHeight="1">
      <c r="A26" s="1" t="str">
        <f>IF($D$13="English","* The zero tracking device may be in operation for the repeatability test.","* Die Nullnachführung darf bei der Prüfung der Wiederholbarkeit eingeschaltet sein")</f>
        <v>* The zero tracking device may be in operation for the repeatability test.</v>
      </c>
      <c r="B26" s="1"/>
      <c r="C26" s="6"/>
      <c r="D26" s="8"/>
      <c r="E26" s="8"/>
      <c r="F26" s="1"/>
      <c r="G26" s="1"/>
      <c r="H26" s="1"/>
      <c r="I26" s="1"/>
      <c r="J26" s="1"/>
      <c r="K26" s="6"/>
      <c r="L26" s="6"/>
      <c r="M26" s="6"/>
      <c r="N26" s="1"/>
      <c r="O26" s="1"/>
      <c r="P26" s="1"/>
      <c r="Q26" s="1"/>
      <c r="R26" s="1"/>
      <c r="S26" s="1"/>
      <c r="T26" s="1"/>
      <c r="U26" s="1"/>
      <c r="V26" s="1"/>
      <c r="W26" s="1"/>
      <c r="X26" s="1"/>
      <c r="Y26" s="1"/>
      <c r="Z26" s="1"/>
      <c r="AA26" s="1"/>
      <c r="AB26" s="1"/>
    </row>
    <row r="27" spans="1:28" ht="12" customHeight="1">
      <c r="A27" s="1" t="str">
        <f>IF($D$13="English","Substitution of standard weights: Standard weights of at least 1 t or 50% Max must be available","Einsatz von Ersatzlasten: Standardgewichte von mindestens 1t oder 50%Max müssen vorhanden sein. ")</f>
        <v>Substitution of standard weights: Standard weights of at least 1 t or 50% Max must be available</v>
      </c>
      <c r="B27" s="1"/>
      <c r="C27" s="6"/>
      <c r="D27" s="8"/>
      <c r="E27" s="8"/>
      <c r="F27" s="1"/>
      <c r="G27" s="1"/>
      <c r="H27" s="1"/>
      <c r="I27" s="1"/>
      <c r="J27" s="1"/>
      <c r="K27" s="6"/>
      <c r="L27" s="6"/>
      <c r="M27" s="6"/>
      <c r="N27" s="1"/>
      <c r="O27" s="1"/>
      <c r="P27" s="1"/>
      <c r="Q27" s="1"/>
      <c r="R27" s="1"/>
      <c r="S27" s="1"/>
      <c r="T27" s="1"/>
      <c r="U27" s="1"/>
      <c r="V27" s="1"/>
      <c r="W27" s="1"/>
      <c r="X27" s="1"/>
      <c r="Y27" s="1"/>
      <c r="Z27" s="1"/>
      <c r="AA27" s="1"/>
      <c r="AB27" s="1"/>
    </row>
    <row r="28" spans="1:28" ht="12" customHeight="1">
      <c r="A28" s="128" t="str">
        <f>IF($J$18="M","L calc = calculated load at Testing Site"," ")</f>
        <v xml:space="preserve"> </v>
      </c>
      <c r="B28" s="1"/>
      <c r="C28" s="6"/>
      <c r="D28" s="8"/>
      <c r="E28" s="8"/>
      <c r="F28" s="1"/>
      <c r="G28" s="1"/>
      <c r="H28" s="1"/>
      <c r="I28" s="1"/>
      <c r="J28" s="1"/>
      <c r="K28" s="6"/>
      <c r="L28" s="6"/>
      <c r="M28" s="6"/>
      <c r="N28" s="1"/>
      <c r="O28" s="1"/>
      <c r="P28" s="1"/>
      <c r="Q28" s="1"/>
      <c r="R28" s="1"/>
      <c r="S28" s="1"/>
      <c r="T28" s="1"/>
      <c r="U28" s="1"/>
      <c r="V28" s="1"/>
      <c r="W28" s="1"/>
      <c r="X28" s="1"/>
      <c r="Y28" s="1"/>
      <c r="Z28" s="1"/>
      <c r="AA28" s="1"/>
      <c r="AB28" s="1"/>
    </row>
    <row r="29" spans="1:28" ht="12.75" customHeight="1">
      <c r="A29" s="234" t="str">
        <f>IF($D$13="English","load must be about","ungefähre Last")</f>
        <v>load must be about</v>
      </c>
      <c r="B29" s="223"/>
      <c r="C29" s="220"/>
      <c r="D29" s="231" t="s">
        <v>26</v>
      </c>
      <c r="E29" s="223"/>
      <c r="F29" s="220"/>
      <c r="G29" s="231" t="s">
        <v>27</v>
      </c>
      <c r="H29" s="220"/>
      <c r="I29" s="231" t="s">
        <v>28</v>
      </c>
      <c r="J29" s="220"/>
      <c r="K29" s="231" t="s">
        <v>29</v>
      </c>
      <c r="L29" s="220"/>
      <c r="M29" s="19" t="s">
        <v>30</v>
      </c>
      <c r="N29" s="231" t="s">
        <v>81</v>
      </c>
      <c r="O29" s="220"/>
      <c r="P29" s="308" t="str">
        <f>IF($J$18="M","L calc"," ")</f>
        <v xml:space="preserve"> </v>
      </c>
      <c r="Q29" s="220"/>
      <c r="R29" s="1"/>
      <c r="S29" s="1"/>
      <c r="T29" s="88"/>
      <c r="U29" s="1"/>
    </row>
    <row r="30" spans="1:28" ht="12" customHeight="1">
      <c r="A30" s="19" t="s">
        <v>32</v>
      </c>
      <c r="B30" s="231" t="s">
        <v>33</v>
      </c>
      <c r="C30" s="220"/>
      <c r="D30" s="19" t="s">
        <v>32</v>
      </c>
      <c r="E30" s="231" t="s">
        <v>33</v>
      </c>
      <c r="F30" s="220"/>
      <c r="G30" s="231" t="s">
        <v>33</v>
      </c>
      <c r="H30" s="220"/>
      <c r="I30" s="231" t="s">
        <v>33</v>
      </c>
      <c r="J30" s="220"/>
      <c r="K30" s="19" t="s">
        <v>33</v>
      </c>
      <c r="L30" s="21" t="s">
        <v>32</v>
      </c>
      <c r="M30" s="19" t="s">
        <v>34</v>
      </c>
      <c r="N30" s="231" t="s">
        <v>32</v>
      </c>
      <c r="O30" s="220"/>
      <c r="P30" s="308" t="str">
        <f>IF($J$18="M","[kg]"," ")</f>
        <v xml:space="preserve"> </v>
      </c>
      <c r="Q30" s="220"/>
      <c r="R30" s="1"/>
      <c r="S30" s="1"/>
      <c r="T30" s="1"/>
      <c r="U30" s="1"/>
    </row>
    <row r="31" spans="1:28" ht="12" customHeight="1">
      <c r="A31" s="24" t="str">
        <f t="shared" ref="A31:A33" si="0">IF($D$10=0," ",$D$9/$D$10*0.5)</f>
        <v xml:space="preserve"> </v>
      </c>
      <c r="B31" s="282">
        <f t="shared" ref="B31:B33" si="1">$D$9*0.5</f>
        <v>0</v>
      </c>
      <c r="C31" s="220"/>
      <c r="D31" s="24" t="str">
        <f t="shared" ref="D31:D33" si="2">IF($D$10=0," ",$E$31/$D$10)</f>
        <v xml:space="preserve"> </v>
      </c>
      <c r="E31" s="284"/>
      <c r="F31" s="333"/>
      <c r="G31" s="334"/>
      <c r="H31" s="335"/>
      <c r="I31" s="270" t="str">
        <f t="shared" ref="I31:I33" si="3">IF(G31=0," ",IF($J$18="M",ABS(P31-G31),ABS(G31-E31)))</f>
        <v xml:space="preserve"> </v>
      </c>
      <c r="J31" s="220"/>
      <c r="K31" s="98">
        <f t="shared" ref="K31:K34" si="4">L31*$D$10</f>
        <v>0</v>
      </c>
      <c r="L31" s="26">
        <f t="shared" ref="L31:L33" si="5">IF(D31=" ",0,IF(D31&lt;=500,0.5,(IF(D31&lt;=2000,1,IF(D31&gt;2000,1.5," ")))))</f>
        <v>0</v>
      </c>
      <c r="M31" s="27" t="str">
        <f t="shared" ref="M31:M34" si="6">IF(I31&lt;=K31,"Y","N")</f>
        <v>N</v>
      </c>
      <c r="N31" s="270" t="str">
        <f t="shared" ref="N31:N33" si="7">IF(G31=0," ",ROUND(I31/$D$10,2))</f>
        <v xml:space="preserve"> </v>
      </c>
      <c r="O31" s="220"/>
      <c r="P31" s="307" t="str">
        <f t="shared" ref="P31:P33" si="8">IF($J$18="M",(IF(E31=" "," ",(E31*(1-($K$21-$D$21)/$D$21))))," ")</f>
        <v xml:space="preserve"> </v>
      </c>
      <c r="Q31" s="220"/>
      <c r="R31" s="137"/>
      <c r="S31" s="1"/>
      <c r="T31" s="1"/>
      <c r="U31" s="1"/>
      <c r="V31" s="1"/>
      <c r="W31" s="1"/>
      <c r="X31" s="1"/>
      <c r="Y31" s="1"/>
      <c r="Z31" s="1"/>
      <c r="AA31" s="1"/>
      <c r="AB31" s="1"/>
    </row>
    <row r="32" spans="1:28" ht="12" customHeight="1">
      <c r="A32" s="24" t="str">
        <f t="shared" si="0"/>
        <v xml:space="preserve"> </v>
      </c>
      <c r="B32" s="282">
        <f t="shared" si="1"/>
        <v>0</v>
      </c>
      <c r="C32" s="220"/>
      <c r="D32" s="24" t="str">
        <f t="shared" si="2"/>
        <v xml:space="preserve"> </v>
      </c>
      <c r="E32" s="322" t="str">
        <f t="shared" ref="E32:E33" si="9">IF(E31=0," ",E31)</f>
        <v xml:space="preserve"> </v>
      </c>
      <c r="F32" s="220"/>
      <c r="G32" s="271"/>
      <c r="H32" s="335"/>
      <c r="I32" s="270" t="str">
        <f t="shared" si="3"/>
        <v xml:space="preserve"> </v>
      </c>
      <c r="J32" s="220"/>
      <c r="K32" s="98">
        <f t="shared" si="4"/>
        <v>0</v>
      </c>
      <c r="L32" s="26">
        <f t="shared" si="5"/>
        <v>0</v>
      </c>
      <c r="M32" s="27" t="str">
        <f t="shared" si="6"/>
        <v>N</v>
      </c>
      <c r="N32" s="270" t="str">
        <f t="shared" si="7"/>
        <v xml:space="preserve"> </v>
      </c>
      <c r="O32" s="220"/>
      <c r="P32" s="307" t="str">
        <f t="shared" si="8"/>
        <v xml:space="preserve"> </v>
      </c>
      <c r="Q32" s="220"/>
      <c r="R32" s="1"/>
      <c r="S32" s="1"/>
      <c r="T32" s="1"/>
      <c r="AA32" s="1"/>
      <c r="AB32" s="1"/>
    </row>
    <row r="33" spans="1:28" ht="12" customHeight="1">
      <c r="A33" s="24" t="str">
        <f t="shared" si="0"/>
        <v xml:space="preserve"> </v>
      </c>
      <c r="B33" s="282">
        <f t="shared" si="1"/>
        <v>0</v>
      </c>
      <c r="C33" s="220"/>
      <c r="D33" s="24" t="str">
        <f t="shared" si="2"/>
        <v xml:space="preserve"> </v>
      </c>
      <c r="E33" s="322" t="str">
        <f t="shared" si="9"/>
        <v xml:space="preserve"> </v>
      </c>
      <c r="F33" s="220"/>
      <c r="G33" s="271"/>
      <c r="H33" s="335"/>
      <c r="I33" s="270" t="str">
        <f t="shared" si="3"/>
        <v xml:space="preserve"> </v>
      </c>
      <c r="J33" s="220"/>
      <c r="K33" s="98">
        <f t="shared" si="4"/>
        <v>0</v>
      </c>
      <c r="L33" s="26">
        <f t="shared" si="5"/>
        <v>0</v>
      </c>
      <c r="M33" s="27" t="str">
        <f t="shared" si="6"/>
        <v>N</v>
      </c>
      <c r="N33" s="270" t="str">
        <f t="shared" si="7"/>
        <v xml:space="preserve"> </v>
      </c>
      <c r="O33" s="220"/>
      <c r="P33" s="307" t="str">
        <f t="shared" si="8"/>
        <v xml:space="preserve"> </v>
      </c>
      <c r="Q33" s="220"/>
      <c r="R33" s="1"/>
      <c r="S33" s="1"/>
      <c r="AA33" s="1"/>
      <c r="AB33" s="1"/>
    </row>
    <row r="34" spans="1:28" ht="12" customHeight="1">
      <c r="A34" s="28"/>
      <c r="B34" s="100"/>
      <c r="C34" s="101"/>
      <c r="D34" s="28"/>
      <c r="E34" s="100"/>
      <c r="F34" s="100"/>
      <c r="G34" s="231" t="s">
        <v>118</v>
      </c>
      <c r="H34" s="220"/>
      <c r="I34" s="270">
        <f>IF(G31=0,0,ROUND((MAX(G31:H33)-MIN(G31:H33)),4))</f>
        <v>0</v>
      </c>
      <c r="J34" s="220"/>
      <c r="K34" s="98">
        <f t="shared" si="4"/>
        <v>0</v>
      </c>
      <c r="L34" s="26">
        <f>IF(OR(D31=" ",D32=" ",D33=" "),0,IF(AND(D31&lt;=500,D32&lt;=500,D33&lt;=500),0.5,(IF(AND(D31&lt;=2000,D32&lt;=2000,D33&lt;=2000),1,IF(AND(D31&gt;2000,D32&gt;2000,D33&gt;2000),1.5," ")))))</f>
        <v>0</v>
      </c>
      <c r="M34" s="27" t="str">
        <f t="shared" si="6"/>
        <v>Y</v>
      </c>
      <c r="N34" s="43"/>
      <c r="O34" s="43"/>
      <c r="P34" s="1"/>
      <c r="Q34" s="1"/>
      <c r="R34" s="1"/>
      <c r="S34" s="1"/>
      <c r="AA34" s="1"/>
      <c r="AB34" s="1"/>
    </row>
    <row r="35" spans="1:28" ht="12" customHeight="1">
      <c r="A35" s="1"/>
      <c r="B35" s="1"/>
      <c r="C35" s="1"/>
      <c r="D35" s="1"/>
      <c r="E35" s="1"/>
      <c r="F35" s="1"/>
      <c r="G35" s="1"/>
      <c r="H35" s="1"/>
      <c r="I35" s="1"/>
      <c r="J35" s="224" t="str">
        <f>IF($D$13="English","Test passed?","Test bestanden?")</f>
        <v>Test passed?</v>
      </c>
      <c r="K35" s="225"/>
      <c r="L35" s="226"/>
      <c r="M35" s="27" t="str">
        <f>IF(AND(M31="Y",M32="Y",M33="Y",M34="Y"),"Y","N")</f>
        <v>N</v>
      </c>
      <c r="N35" s="1"/>
      <c r="O35" s="1"/>
      <c r="P35" s="1"/>
      <c r="Q35" s="1"/>
      <c r="R35" s="1"/>
      <c r="S35" s="1"/>
      <c r="T35" s="1"/>
      <c r="U35" s="1"/>
      <c r="V35" s="1"/>
      <c r="W35" s="1"/>
      <c r="X35" s="1"/>
      <c r="Y35" s="1"/>
      <c r="Z35" s="1"/>
      <c r="AA35" s="1"/>
      <c r="AB35" s="1"/>
    </row>
    <row r="36" spans="1:28" ht="14.25" customHeight="1">
      <c r="A36" s="1"/>
      <c r="B36" s="1"/>
      <c r="C36" s="1"/>
      <c r="D36" s="1" t="str">
        <f>IF(D13="deutsch","Anteil Eichgewichte:","Contingent of standard weights:")</f>
        <v>Contingent of standard weights:</v>
      </c>
      <c r="E36" s="85"/>
      <c r="F36" s="85"/>
      <c r="G36" s="13"/>
      <c r="H36" s="13"/>
      <c r="I36" s="7" t="str">
        <f>IF(D10=0," ",IF(ROUND(I34/D10,2)&lt;=0.2,"1/5 Max",IF(ROUND(I34/D10,2)&lt;=0.3,"1/3 Max","1/2 Max")))</f>
        <v xml:space="preserve"> </v>
      </c>
      <c r="J36" s="13"/>
      <c r="K36" s="86" t="s">
        <v>85</v>
      </c>
      <c r="L36" s="273" t="str">
        <f>IF(D10=0," ",IF(ROUND(I34/D10,2)&lt;=0.2,D9/5,IF(ROUND(I34/D10,2)&lt;=0.3,D9/3,D9/2)))</f>
        <v xml:space="preserve"> </v>
      </c>
      <c r="M36" s="237"/>
      <c r="N36" s="237"/>
      <c r="O36" s="13" t="s">
        <v>11</v>
      </c>
      <c r="P36" s="1"/>
      <c r="Q36" s="1"/>
      <c r="R36" s="88"/>
      <c r="S36" s="1"/>
      <c r="AA36" s="1"/>
      <c r="AB36" s="1"/>
    </row>
    <row r="37" spans="1:28" ht="12" customHeight="1">
      <c r="A37" s="1"/>
      <c r="B37" s="1"/>
      <c r="C37" s="1"/>
      <c r="D37" s="1"/>
      <c r="E37" s="1"/>
      <c r="F37" s="1"/>
      <c r="G37" s="1"/>
      <c r="H37" s="1"/>
      <c r="I37" s="1"/>
      <c r="J37" s="6"/>
      <c r="M37" s="1"/>
      <c r="N37" s="1"/>
      <c r="O37" s="1"/>
      <c r="P37" s="1"/>
      <c r="Q37" s="1"/>
      <c r="R37" s="1"/>
      <c r="S37" s="1"/>
      <c r="T37" s="1"/>
      <c r="U37" s="1"/>
      <c r="V37" s="1"/>
      <c r="W37" s="1"/>
      <c r="X37" s="1"/>
      <c r="Y37" s="1"/>
      <c r="Z37" s="1"/>
      <c r="AA37" s="1"/>
      <c r="AB37" s="1"/>
    </row>
    <row r="38" spans="1:28" ht="15.75" customHeight="1">
      <c r="A38" s="7" t="str">
        <f>IF($D$13="English","2.  Accuracy of Zero Device (hi-res mode: off):","2.  Prüfung der Genauigkeit der Nullstellung (Hi-Res-Modus aus):")</f>
        <v>2.  Accuracy of Zero Device (hi-res mode: off):</v>
      </c>
      <c r="B38" s="1"/>
      <c r="C38" s="1"/>
      <c r="D38" s="1"/>
      <c r="E38" s="1"/>
      <c r="F38" s="1"/>
      <c r="G38" s="1"/>
      <c r="H38" s="1" t="str">
        <f>IF($D$13="English","accordance to EN45501-2015, A.4.2.3","gemäß EN45501-2015, A.4.2.3")</f>
        <v>accordance to EN45501-2015, A.4.2.3</v>
      </c>
      <c r="I38" s="1"/>
      <c r="J38" s="1"/>
      <c r="K38" s="1"/>
      <c r="L38" s="30"/>
      <c r="M38" s="1"/>
      <c r="N38" s="1"/>
      <c r="O38" s="1"/>
      <c r="P38" s="1"/>
      <c r="Q38" s="1"/>
      <c r="R38" s="1"/>
      <c r="S38" s="1"/>
      <c r="T38" s="1"/>
      <c r="U38" s="1"/>
      <c r="V38" s="1"/>
      <c r="W38" s="1"/>
      <c r="X38" s="1"/>
      <c r="Y38" s="1"/>
      <c r="Z38" s="1"/>
      <c r="AA38" s="1"/>
      <c r="AB38" s="1"/>
    </row>
    <row r="39" spans="1:28" ht="12" customHeight="1">
      <c r="A39" s="231" t="s">
        <v>48</v>
      </c>
      <c r="B39" s="223"/>
      <c r="C39" s="223"/>
      <c r="D39" s="220"/>
      <c r="E39" s="231" t="s">
        <v>49</v>
      </c>
      <c r="F39" s="223"/>
      <c r="G39" s="220"/>
      <c r="H39" s="231" t="s">
        <v>29</v>
      </c>
      <c r="I39" s="220"/>
      <c r="J39" s="19" t="s">
        <v>30</v>
      </c>
      <c r="K39" s="30"/>
      <c r="L39" s="1"/>
      <c r="M39" s="1"/>
      <c r="N39" s="1"/>
      <c r="O39" s="1"/>
      <c r="P39" s="1"/>
      <c r="Q39" s="1"/>
      <c r="R39" s="1"/>
      <c r="S39" s="1"/>
      <c r="T39" s="1"/>
      <c r="U39" s="1"/>
      <c r="V39" s="1"/>
      <c r="W39" s="1"/>
      <c r="X39" s="1"/>
      <c r="Y39" s="1"/>
      <c r="Z39" s="1"/>
      <c r="AA39" s="1"/>
      <c r="AB39" s="1"/>
    </row>
    <row r="40" spans="1:28" ht="12.75" customHeight="1">
      <c r="A40" s="231" t="s">
        <v>33</v>
      </c>
      <c r="B40" s="223"/>
      <c r="C40" s="223"/>
      <c r="D40" s="220"/>
      <c r="E40" s="231" t="s">
        <v>33</v>
      </c>
      <c r="F40" s="223"/>
      <c r="G40" s="220"/>
      <c r="H40" s="19" t="s">
        <v>33</v>
      </c>
      <c r="I40" s="21" t="s">
        <v>32</v>
      </c>
      <c r="J40" s="19" t="s">
        <v>34</v>
      </c>
      <c r="K40" s="30"/>
      <c r="L40" s="1"/>
      <c r="M40" s="1"/>
      <c r="N40" s="1"/>
      <c r="O40" s="1"/>
      <c r="P40" s="1"/>
      <c r="Q40" s="1"/>
      <c r="R40" s="1"/>
      <c r="S40" s="1"/>
      <c r="T40" s="1"/>
      <c r="U40" s="1"/>
      <c r="V40" s="1"/>
      <c r="W40" s="1"/>
      <c r="X40" s="1"/>
      <c r="Y40" s="1"/>
      <c r="Z40" s="1"/>
      <c r="AA40" s="1"/>
      <c r="AB40" s="1"/>
    </row>
    <row r="41" spans="1:28" ht="12" customHeight="1">
      <c r="A41" s="286"/>
      <c r="B41" s="330"/>
      <c r="C41" s="330"/>
      <c r="D41" s="331"/>
      <c r="E41" s="268">
        <f>0.5*$D$10-$A$41</f>
        <v>0</v>
      </c>
      <c r="F41" s="223"/>
      <c r="G41" s="220"/>
      <c r="H41" s="90">
        <f>I41*$D$10</f>
        <v>0</v>
      </c>
      <c r="I41" s="36">
        <v>0.25</v>
      </c>
      <c r="J41" s="27" t="str">
        <f>IF(D41=" ","N",IF(H41&gt;=ABS($E41),"Y","N"))</f>
        <v>Y</v>
      </c>
      <c r="K41" s="28"/>
      <c r="R41" s="1"/>
      <c r="S41" s="1"/>
      <c r="T41" s="1"/>
      <c r="U41" s="1"/>
      <c r="V41" s="1"/>
      <c r="W41" s="1"/>
      <c r="X41" s="1"/>
      <c r="Y41" s="1"/>
      <c r="Z41" s="1"/>
      <c r="AA41" s="1"/>
      <c r="AB41" s="1"/>
    </row>
    <row r="42" spans="1:28" ht="12" customHeight="1">
      <c r="A42" s="7"/>
      <c r="B42" s="7"/>
      <c r="C42" s="1"/>
      <c r="D42" s="1"/>
      <c r="E42" s="1"/>
      <c r="F42" s="1"/>
      <c r="G42" s="1"/>
      <c r="H42" s="1"/>
      <c r="I42" s="6" t="str">
        <f>IF($D$13="English","Test passed?","Test bestanden?")</f>
        <v>Test passed?</v>
      </c>
      <c r="J42" s="27" t="str">
        <f>IF(J41="Y","Y","N")</f>
        <v>Y</v>
      </c>
      <c r="K42" s="1"/>
      <c r="R42" s="1"/>
      <c r="S42" s="1"/>
      <c r="T42" s="1"/>
      <c r="U42" s="1"/>
      <c r="V42" s="1"/>
      <c r="W42" s="1"/>
      <c r="X42" s="1"/>
      <c r="Y42" s="1"/>
      <c r="Z42" s="1"/>
      <c r="AA42" s="1"/>
      <c r="AB42" s="1"/>
    </row>
    <row r="43" spans="1:28" ht="12" customHeight="1">
      <c r="A43" s="7"/>
      <c r="B43" s="1"/>
      <c r="C43" s="1"/>
      <c r="D43" s="1"/>
      <c r="E43" s="1"/>
      <c r="F43" s="1"/>
      <c r="G43" s="1"/>
      <c r="H43" s="1"/>
      <c r="I43" s="1"/>
      <c r="J43" s="1"/>
      <c r="K43" s="1"/>
      <c r="L43" s="30"/>
      <c r="M43" s="1"/>
      <c r="R43" s="1"/>
      <c r="S43" s="1"/>
      <c r="T43" s="1"/>
      <c r="U43" s="1"/>
      <c r="V43" s="1"/>
      <c r="W43" s="1"/>
      <c r="X43" s="1"/>
      <c r="Y43" s="1"/>
      <c r="Z43" s="1"/>
      <c r="AA43" s="1"/>
      <c r="AB43" s="1"/>
    </row>
    <row r="44" spans="1:28" ht="12" customHeight="1">
      <c r="A44" s="7" t="str">
        <f>IF($D$13="English","3.  Accuracy of Tare Device  (hi-res mode: off):","3.  Genauigkeit der Tarierung  (Hi-Res-Modus: aus):")</f>
        <v>3.  Accuracy of Tare Device  (hi-res mode: off):</v>
      </c>
      <c r="B44" s="31"/>
      <c r="C44" s="32"/>
      <c r="D44" s="1"/>
      <c r="E44" s="1"/>
      <c r="F44" s="1"/>
      <c r="G44" s="1" t="str">
        <f>IF($D$13="English","accordance to EN45501-2015, A.4.6.2","gemäß EN45501-2015, A.4.6.2")</f>
        <v>accordance to EN45501-2015, A.4.6.2</v>
      </c>
      <c r="H44" s="1"/>
      <c r="J44" s="17"/>
      <c r="K44" s="1"/>
      <c r="L44" s="1"/>
      <c r="M44" s="33" t="s">
        <v>50</v>
      </c>
      <c r="O44" s="34"/>
      <c r="R44" s="1"/>
      <c r="S44" s="1"/>
      <c r="T44" s="1"/>
      <c r="U44" s="1"/>
      <c r="V44" s="1"/>
      <c r="W44" s="1"/>
      <c r="X44" s="1"/>
      <c r="Y44" s="1"/>
      <c r="Z44" s="1"/>
      <c r="AA44" s="1"/>
      <c r="AB44" s="1"/>
    </row>
    <row r="45" spans="1:28" ht="12" customHeight="1">
      <c r="A45" s="1"/>
      <c r="B45" s="31"/>
      <c r="C45" s="32"/>
      <c r="D45" s="1"/>
      <c r="E45" s="1"/>
      <c r="F45" s="1"/>
      <c r="G45" s="6"/>
      <c r="H45" s="1"/>
      <c r="J45" s="17"/>
      <c r="K45" s="1"/>
      <c r="L45" s="1"/>
      <c r="M45" s="1"/>
      <c r="N45" s="1"/>
      <c r="O45" s="1"/>
      <c r="P45" s="1"/>
      <c r="Q45" s="1"/>
      <c r="R45" s="1"/>
      <c r="S45" s="1"/>
      <c r="T45" s="1"/>
      <c r="U45" s="1"/>
      <c r="V45" s="1"/>
      <c r="W45" s="1"/>
      <c r="X45" s="1"/>
      <c r="Y45" s="1"/>
      <c r="Z45" s="1"/>
      <c r="AA45" s="1"/>
      <c r="AB45" s="1"/>
    </row>
    <row r="46" spans="1:28" ht="12" customHeight="1">
      <c r="A46" s="231" t="s">
        <v>48</v>
      </c>
      <c r="B46" s="223"/>
      <c r="C46" s="223"/>
      <c r="D46" s="220"/>
      <c r="E46" s="231" t="s">
        <v>51</v>
      </c>
      <c r="F46" s="223"/>
      <c r="G46" s="220"/>
      <c r="H46" s="231" t="s">
        <v>29</v>
      </c>
      <c r="I46" s="220"/>
      <c r="J46" s="19" t="s">
        <v>30</v>
      </c>
      <c r="K46" s="1"/>
      <c r="L46" s="1"/>
      <c r="M46" s="1"/>
      <c r="N46" s="1"/>
      <c r="O46" s="1"/>
      <c r="P46" s="1"/>
      <c r="Q46" s="1"/>
      <c r="R46" s="1"/>
      <c r="S46" s="1"/>
      <c r="T46" s="1"/>
      <c r="U46" s="1"/>
      <c r="V46" s="1"/>
      <c r="W46" s="1"/>
      <c r="X46" s="1"/>
      <c r="Y46" s="1"/>
      <c r="Z46" s="1"/>
      <c r="AA46" s="1"/>
      <c r="AB46" s="1"/>
    </row>
    <row r="47" spans="1:28" ht="12" customHeight="1">
      <c r="A47" s="231" t="s">
        <v>33</v>
      </c>
      <c r="B47" s="223"/>
      <c r="C47" s="223"/>
      <c r="D47" s="220"/>
      <c r="E47" s="231" t="s">
        <v>33</v>
      </c>
      <c r="F47" s="223"/>
      <c r="G47" s="220"/>
      <c r="H47" s="19" t="s">
        <v>33</v>
      </c>
      <c r="I47" s="21" t="s">
        <v>32</v>
      </c>
      <c r="J47" s="19" t="s">
        <v>34</v>
      </c>
      <c r="K47" s="1"/>
      <c r="L47" s="1"/>
      <c r="M47" s="1"/>
      <c r="N47" s="1"/>
      <c r="O47" s="1"/>
      <c r="P47" s="1"/>
      <c r="Q47" s="1"/>
      <c r="R47" s="1"/>
      <c r="S47" s="1"/>
      <c r="T47" s="1"/>
      <c r="U47" s="1"/>
      <c r="V47" s="1"/>
      <c r="W47" s="1"/>
      <c r="X47" s="1"/>
      <c r="Y47" s="1"/>
      <c r="Z47" s="1"/>
      <c r="AA47" s="1"/>
      <c r="AB47" s="1"/>
    </row>
    <row r="48" spans="1:28" ht="12" customHeight="1">
      <c r="A48" s="286"/>
      <c r="B48" s="330"/>
      <c r="C48" s="330"/>
      <c r="D48" s="331"/>
      <c r="E48" s="268" t="str">
        <f>IF(A48=0," ",0.5*$D$10-$A$48)</f>
        <v xml:space="preserve"> </v>
      </c>
      <c r="F48" s="223"/>
      <c r="G48" s="220"/>
      <c r="H48" s="90">
        <f>I48*$D$10</f>
        <v>0</v>
      </c>
      <c r="I48" s="36">
        <v>0.25</v>
      </c>
      <c r="J48" s="27" t="str">
        <f>IF(A48=0," ",IF(H48&gt;=ABS($E48),"Y","N"))</f>
        <v xml:space="preserve"> </v>
      </c>
      <c r="K48" s="1"/>
      <c r="L48" s="1"/>
      <c r="M48" s="1"/>
      <c r="N48" s="1"/>
      <c r="O48" s="1"/>
      <c r="P48" s="1"/>
      <c r="Q48" s="1"/>
      <c r="R48" s="1"/>
      <c r="S48" s="1"/>
      <c r="T48" s="1"/>
      <c r="U48" s="1"/>
      <c r="V48" s="1"/>
      <c r="W48" s="1"/>
      <c r="X48" s="1"/>
      <c r="Y48" s="1"/>
      <c r="Z48" s="1"/>
      <c r="AA48" s="1"/>
      <c r="AB48" s="1"/>
    </row>
    <row r="49" spans="1:28" ht="12" customHeight="1">
      <c r="A49" s="7"/>
      <c r="B49" s="7"/>
      <c r="C49" s="1"/>
      <c r="D49" s="1"/>
      <c r="E49" s="1"/>
      <c r="F49" s="1"/>
      <c r="G49" s="1"/>
      <c r="H49" s="1"/>
      <c r="I49" s="6" t="str">
        <f>IF($D$13="English","Test passed?","Test bestanden?")</f>
        <v>Test passed?</v>
      </c>
      <c r="J49" s="27" t="str">
        <f>IF(J48="Y","Y","N")</f>
        <v>N</v>
      </c>
      <c r="K49" s="1"/>
      <c r="L49" s="1"/>
      <c r="M49" s="1"/>
      <c r="N49" s="1"/>
      <c r="O49" s="1"/>
      <c r="P49" s="1"/>
      <c r="Q49" s="1"/>
      <c r="R49" s="1"/>
      <c r="S49" s="1"/>
      <c r="T49" s="1"/>
      <c r="U49" s="1"/>
      <c r="V49" s="1"/>
      <c r="W49" s="1"/>
      <c r="X49" s="1"/>
      <c r="Y49" s="1"/>
      <c r="Z49" s="1"/>
      <c r="AA49" s="1"/>
      <c r="AB49" s="1"/>
    </row>
    <row r="50" spans="1:28" ht="12" customHeight="1">
      <c r="A50" s="1"/>
      <c r="B50" s="1"/>
      <c r="C50" s="1"/>
      <c r="D50" s="1"/>
      <c r="E50" s="1"/>
      <c r="F50" s="1"/>
      <c r="G50" s="6"/>
      <c r="J50" s="17"/>
      <c r="K50" s="1"/>
      <c r="L50" s="1"/>
      <c r="M50" s="1"/>
      <c r="N50" s="1"/>
      <c r="O50" s="1"/>
      <c r="P50" s="1"/>
      <c r="Q50" s="1"/>
      <c r="R50" s="1"/>
      <c r="S50" s="1"/>
      <c r="T50" s="1"/>
      <c r="U50" s="1"/>
      <c r="V50" s="1"/>
      <c r="W50" s="1"/>
      <c r="X50" s="1"/>
      <c r="Y50" s="1"/>
      <c r="Z50" s="1"/>
      <c r="AA50" s="1"/>
      <c r="AB50" s="1"/>
    </row>
    <row r="51" spans="1:28" ht="12" customHeight="1">
      <c r="A51" s="297" t="str">
        <f>IF($D$13="English","4.  Weighing / Linearity Test (Indicator in hi-res mode):","4. Prüfung der Richtigkeit mit Normallast (Indikator in Hi-Res-Modus):")</f>
        <v>4.  Weighing / Linearity Test (Indicator in hi-res mode):</v>
      </c>
      <c r="B51" s="237"/>
      <c r="C51" s="237"/>
      <c r="D51" s="237"/>
      <c r="E51" s="237"/>
      <c r="F51" s="237"/>
      <c r="G51" s="237"/>
      <c r="H51" s="237"/>
      <c r="I51" s="1"/>
      <c r="J51" s="14"/>
      <c r="K51" s="1"/>
      <c r="L51" s="1"/>
      <c r="M51" s="6"/>
      <c r="N51" s="1"/>
      <c r="O51" s="1"/>
      <c r="P51" s="1"/>
      <c r="Q51" s="1"/>
      <c r="R51" s="1"/>
      <c r="S51" s="1"/>
      <c r="T51" s="1"/>
      <c r="U51" s="1"/>
      <c r="V51" s="1"/>
      <c r="W51" s="1"/>
      <c r="X51" s="1"/>
      <c r="Y51" s="1"/>
      <c r="Z51" s="1"/>
      <c r="AA51" s="1"/>
      <c r="AB51" s="1"/>
    </row>
    <row r="52" spans="1:28" ht="12" customHeight="1">
      <c r="A52" s="298"/>
      <c r="B52" s="298"/>
      <c r="C52" s="298"/>
      <c r="D52" s="298"/>
      <c r="E52" s="298"/>
      <c r="F52" s="298"/>
      <c r="G52" s="298"/>
      <c r="H52" s="298"/>
      <c r="I52" s="1" t="str">
        <f>IF($D$13="English","accordance to EN45501-2015, A.4.4.1","gemäß EN45501-2015, A.4.4.1")</f>
        <v>accordance to EN45501-2015, A.4.4.1</v>
      </c>
      <c r="J52" s="14"/>
      <c r="K52" s="1"/>
      <c r="L52" s="1"/>
      <c r="M52" s="6"/>
      <c r="N52" s="1"/>
      <c r="O52" s="1"/>
      <c r="P52" s="1"/>
      <c r="Q52" s="1"/>
      <c r="R52" s="1"/>
      <c r="S52" s="1"/>
      <c r="T52" s="1"/>
      <c r="U52" s="1"/>
      <c r="V52" s="1"/>
      <c r="W52" s="1"/>
      <c r="X52" s="1"/>
      <c r="Y52" s="1"/>
      <c r="Z52" s="1"/>
      <c r="AA52" s="1"/>
      <c r="AB52" s="1"/>
    </row>
    <row r="53" spans="1:28" ht="12" customHeight="1">
      <c r="A53" s="234" t="str">
        <f>IF($D$13="English","load must be about","ungefähre Last")</f>
        <v>load must be about</v>
      </c>
      <c r="B53" s="223"/>
      <c r="C53" s="220"/>
      <c r="D53" s="231" t="s">
        <v>26</v>
      </c>
      <c r="E53" s="223"/>
      <c r="F53" s="220"/>
      <c r="G53" s="231" t="s">
        <v>27</v>
      </c>
      <c r="H53" s="220"/>
      <c r="I53" s="231" t="s">
        <v>101</v>
      </c>
      <c r="J53" s="220"/>
      <c r="K53" s="231" t="s">
        <v>29</v>
      </c>
      <c r="L53" s="220"/>
      <c r="M53" s="309" t="s">
        <v>109</v>
      </c>
      <c r="N53" s="220"/>
      <c r="O53" s="134" t="s">
        <v>110</v>
      </c>
      <c r="P53" s="308" t="str">
        <f>IF($J$18="M","L calc"," ")</f>
        <v xml:space="preserve"> </v>
      </c>
      <c r="Q53" s="220"/>
      <c r="R53" s="1"/>
      <c r="S53" s="1"/>
      <c r="T53" s="1"/>
      <c r="U53" s="1"/>
      <c r="V53" s="1"/>
      <c r="W53" s="1"/>
      <c r="X53" s="1"/>
      <c r="Y53" s="1"/>
      <c r="Z53" s="1"/>
      <c r="AA53" s="1"/>
      <c r="AB53" s="1"/>
    </row>
    <row r="54" spans="1:28" ht="12" customHeight="1">
      <c r="A54" s="19" t="s">
        <v>32</v>
      </c>
      <c r="B54" s="239" t="s">
        <v>33</v>
      </c>
      <c r="C54" s="220"/>
      <c r="D54" s="19" t="s">
        <v>32</v>
      </c>
      <c r="E54" s="239" t="s">
        <v>33</v>
      </c>
      <c r="F54" s="220"/>
      <c r="G54" s="231" t="s">
        <v>33</v>
      </c>
      <c r="H54" s="220"/>
      <c r="I54" s="231" t="s">
        <v>33</v>
      </c>
      <c r="J54" s="223"/>
      <c r="K54" s="19" t="s">
        <v>33</v>
      </c>
      <c r="L54" s="21" t="s">
        <v>32</v>
      </c>
      <c r="M54" s="231" t="s">
        <v>33</v>
      </c>
      <c r="N54" s="220"/>
      <c r="O54" s="135"/>
      <c r="P54" s="308" t="str">
        <f>IF($J$18="M","[kg]"," ")</f>
        <v xml:space="preserve"> </v>
      </c>
      <c r="Q54" s="220"/>
      <c r="R54" s="1"/>
      <c r="S54" s="1"/>
      <c r="T54" s="1"/>
      <c r="U54" s="1"/>
      <c r="V54" s="1"/>
      <c r="W54" s="1"/>
      <c r="X54" s="1"/>
      <c r="Y54" s="1"/>
      <c r="Z54" s="1"/>
      <c r="AA54" s="1"/>
      <c r="AB54" s="1"/>
    </row>
    <row r="55" spans="1:28" ht="12" customHeight="1">
      <c r="A55" s="38">
        <v>20</v>
      </c>
      <c r="B55" s="282">
        <f>A55*$D$10</f>
        <v>0</v>
      </c>
      <c r="C55" s="220"/>
      <c r="D55" s="38" t="str">
        <f t="shared" ref="D55:D63" si="10">IF($D$10=0,"-",E55/$D$10)</f>
        <v>-</v>
      </c>
      <c r="E55" s="285"/>
      <c r="F55" s="332"/>
      <c r="G55" s="328"/>
      <c r="H55" s="329"/>
      <c r="I55" s="270" t="str">
        <f t="shared" ref="I55:I63" si="11">IF(G55=0," ",IF($J$18="M",(G55-P55),(G55-E55)))</f>
        <v xml:space="preserve"> </v>
      </c>
      <c r="J55" s="220"/>
      <c r="K55" s="82">
        <f t="shared" ref="K55:K63" si="12">IF(L55=" "," ",L55*$D$10)</f>
        <v>0</v>
      </c>
      <c r="L55" s="26">
        <f t="shared" ref="L55:L63" si="13">IF(D55&lt;=500,0.5,(IF(D55&lt;=2000,1,IF(D55&gt;2000,1.5," "))))</f>
        <v>1.5</v>
      </c>
      <c r="M55" s="231" t="str">
        <f t="shared" ref="M55:M63" si="14">IF(E55=0," ",IF($E$41=" "," ",ROUND(I55-$E$41,3)))</f>
        <v xml:space="preserve"> </v>
      </c>
      <c r="N55" s="220"/>
      <c r="O55" s="27" t="str">
        <f t="shared" ref="O55:O63" si="15">IF(M55=" "," ",IF(ABS(M55)&lt;=K55,"Y","N"))</f>
        <v xml:space="preserve"> </v>
      </c>
      <c r="P55" s="307" t="str">
        <f t="shared" ref="P55:P63" si="16">IF($J$18="M",E55*(1-($K$21-$D$21)/$D$21)," ")</f>
        <v xml:space="preserve"> </v>
      </c>
      <c r="Q55" s="220"/>
      <c r="R55" s="1"/>
      <c r="S55" s="1"/>
      <c r="T55" s="1"/>
      <c r="U55" s="1"/>
      <c r="V55" s="1"/>
      <c r="W55" s="1"/>
      <c r="X55" s="1"/>
      <c r="Y55" s="1"/>
      <c r="Z55" s="1"/>
      <c r="AA55" s="1"/>
      <c r="AB55" s="1"/>
    </row>
    <row r="56" spans="1:28" ht="12" customHeight="1">
      <c r="A56" s="24" t="str">
        <f>IF($D$10=0,"-",IF($D$9/$D$10=500,100,IF($D$9/$D$10&lt;=1000,100,IF($D$9/$D$10&lt;=2000,200,500))))</f>
        <v>-</v>
      </c>
      <c r="B56" s="282" t="str">
        <f t="shared" ref="B56:B62" si="17">IF($D$10=0," ",A56*$D$10)</f>
        <v xml:space="preserve"> </v>
      </c>
      <c r="C56" s="220"/>
      <c r="D56" s="38" t="str">
        <f t="shared" si="10"/>
        <v>-</v>
      </c>
      <c r="E56" s="285"/>
      <c r="F56" s="332"/>
      <c r="G56" s="328"/>
      <c r="H56" s="329"/>
      <c r="I56" s="270" t="str">
        <f t="shared" si="11"/>
        <v xml:space="preserve"> </v>
      </c>
      <c r="J56" s="220"/>
      <c r="K56" s="82">
        <f t="shared" si="12"/>
        <v>0</v>
      </c>
      <c r="L56" s="26">
        <f t="shared" si="13"/>
        <v>1.5</v>
      </c>
      <c r="M56" s="231" t="str">
        <f t="shared" si="14"/>
        <v xml:space="preserve"> </v>
      </c>
      <c r="N56" s="220"/>
      <c r="O56" s="27" t="str">
        <f t="shared" si="15"/>
        <v xml:space="preserve"> </v>
      </c>
      <c r="P56" s="307" t="str">
        <f t="shared" si="16"/>
        <v xml:space="preserve"> </v>
      </c>
      <c r="Q56" s="220"/>
      <c r="R56" s="1"/>
      <c r="S56" s="1"/>
      <c r="T56" s="1"/>
      <c r="U56" s="1"/>
      <c r="V56" s="1"/>
      <c r="W56" s="1"/>
      <c r="X56" s="1"/>
      <c r="Y56" s="1"/>
      <c r="Z56" s="1"/>
      <c r="AA56" s="1"/>
      <c r="AB56" s="1"/>
    </row>
    <row r="57" spans="1:28" ht="12" customHeight="1">
      <c r="A57" s="24" t="str">
        <f>IF($D$10=0,"-",IF($D$9/$D$10=500,200,IF($D$9/$D$10&lt;=1000,200,IF($D$9/$D$10&lt;=2000,500,1000))))</f>
        <v>-</v>
      </c>
      <c r="B57" s="282" t="str">
        <f t="shared" si="17"/>
        <v xml:space="preserve"> </v>
      </c>
      <c r="C57" s="220"/>
      <c r="D57" s="38" t="str">
        <f t="shared" si="10"/>
        <v>-</v>
      </c>
      <c r="E57" s="285"/>
      <c r="F57" s="332"/>
      <c r="G57" s="328"/>
      <c r="H57" s="329"/>
      <c r="I57" s="270" t="str">
        <f t="shared" si="11"/>
        <v xml:space="preserve"> </v>
      </c>
      <c r="J57" s="220"/>
      <c r="K57" s="82">
        <f t="shared" si="12"/>
        <v>0</v>
      </c>
      <c r="L57" s="26">
        <f t="shared" si="13"/>
        <v>1.5</v>
      </c>
      <c r="M57" s="231" t="str">
        <f t="shared" si="14"/>
        <v xml:space="preserve"> </v>
      </c>
      <c r="N57" s="220"/>
      <c r="O57" s="27" t="str">
        <f t="shared" si="15"/>
        <v xml:space="preserve"> </v>
      </c>
      <c r="P57" s="307" t="str">
        <f t="shared" si="16"/>
        <v xml:space="preserve"> </v>
      </c>
      <c r="Q57" s="220"/>
      <c r="R57" s="1"/>
      <c r="S57" s="1"/>
      <c r="T57" s="1"/>
      <c r="U57" s="1"/>
      <c r="V57" s="1"/>
      <c r="W57" s="1"/>
      <c r="X57" s="1"/>
      <c r="Y57" s="1"/>
      <c r="Z57" s="1"/>
      <c r="AA57" s="1"/>
      <c r="AB57" s="1"/>
    </row>
    <row r="58" spans="1:28" ht="12" customHeight="1">
      <c r="A58" s="24" t="str">
        <f>IF($D$10=0,"-",IF($D$9/$D$10=500,300,IF($D$9/$D$10&lt;=1000,500,IF($D$9/$D$10&lt;=2000,1000,2000))))</f>
        <v>-</v>
      </c>
      <c r="B58" s="282" t="str">
        <f t="shared" si="17"/>
        <v xml:space="preserve"> </v>
      </c>
      <c r="C58" s="220"/>
      <c r="D58" s="38" t="str">
        <f t="shared" si="10"/>
        <v>-</v>
      </c>
      <c r="E58" s="285"/>
      <c r="F58" s="332"/>
      <c r="G58" s="328"/>
      <c r="H58" s="329"/>
      <c r="I58" s="270" t="str">
        <f t="shared" si="11"/>
        <v xml:space="preserve"> </v>
      </c>
      <c r="J58" s="220"/>
      <c r="K58" s="82">
        <f t="shared" si="12"/>
        <v>0</v>
      </c>
      <c r="L58" s="26">
        <f t="shared" si="13"/>
        <v>1.5</v>
      </c>
      <c r="M58" s="231" t="str">
        <f t="shared" si="14"/>
        <v xml:space="preserve"> </v>
      </c>
      <c r="N58" s="220"/>
      <c r="O58" s="27" t="str">
        <f t="shared" si="15"/>
        <v xml:space="preserve"> </v>
      </c>
      <c r="P58" s="307" t="str">
        <f t="shared" si="16"/>
        <v xml:space="preserve"> </v>
      </c>
      <c r="Q58" s="220"/>
      <c r="R58" s="1"/>
      <c r="S58" s="1"/>
      <c r="T58" s="1"/>
      <c r="U58" s="1"/>
      <c r="V58" s="1"/>
      <c r="W58" s="1"/>
      <c r="X58" s="1"/>
      <c r="Y58" s="1"/>
      <c r="Z58" s="1"/>
      <c r="AA58" s="1"/>
      <c r="AB58" s="1"/>
    </row>
    <row r="59" spans="1:28" ht="12" customHeight="1">
      <c r="A59" s="24" t="str">
        <f>IF($D$10=0,"-",$D$9/$D$10)</f>
        <v>-</v>
      </c>
      <c r="B59" s="282" t="str">
        <f t="shared" si="17"/>
        <v xml:space="preserve"> </v>
      </c>
      <c r="C59" s="220"/>
      <c r="D59" s="38" t="str">
        <f t="shared" si="10"/>
        <v>-</v>
      </c>
      <c r="E59" s="285"/>
      <c r="F59" s="332"/>
      <c r="G59" s="328"/>
      <c r="H59" s="329"/>
      <c r="I59" s="270" t="str">
        <f t="shared" si="11"/>
        <v xml:space="preserve"> </v>
      </c>
      <c r="J59" s="220"/>
      <c r="K59" s="82">
        <f t="shared" si="12"/>
        <v>0</v>
      </c>
      <c r="L59" s="26">
        <f t="shared" si="13"/>
        <v>1.5</v>
      </c>
      <c r="M59" s="231" t="str">
        <f t="shared" si="14"/>
        <v xml:space="preserve"> </v>
      </c>
      <c r="N59" s="220"/>
      <c r="O59" s="27" t="str">
        <f t="shared" si="15"/>
        <v xml:space="preserve"> </v>
      </c>
      <c r="P59" s="307" t="str">
        <f t="shared" si="16"/>
        <v xml:space="preserve"> </v>
      </c>
      <c r="Q59" s="220"/>
      <c r="R59" s="1"/>
      <c r="S59" s="1"/>
      <c r="T59" s="1"/>
      <c r="U59" s="1"/>
      <c r="V59" s="1"/>
      <c r="W59" s="1"/>
      <c r="X59" s="1"/>
      <c r="Y59" s="1"/>
      <c r="Z59" s="1"/>
      <c r="AA59" s="1"/>
      <c r="AB59" s="1"/>
    </row>
    <row r="60" spans="1:28" ht="12" customHeight="1">
      <c r="A60" s="24" t="str">
        <f>IF($D$10=0,"-",IF($D$9/$D$10=500,300,IF($D$9/$D$10&lt;=1000,500,IF($D$9/$D$10&lt;=2000,1000,2000))))</f>
        <v>-</v>
      </c>
      <c r="B60" s="282" t="str">
        <f t="shared" si="17"/>
        <v xml:space="preserve"> </v>
      </c>
      <c r="C60" s="220"/>
      <c r="D60" s="38" t="str">
        <f t="shared" si="10"/>
        <v>-</v>
      </c>
      <c r="E60" s="283">
        <f>E58</f>
        <v>0</v>
      </c>
      <c r="F60" s="220"/>
      <c r="G60" s="321"/>
      <c r="H60" s="329"/>
      <c r="I60" s="270" t="str">
        <f t="shared" si="11"/>
        <v xml:space="preserve"> </v>
      </c>
      <c r="J60" s="220"/>
      <c r="K60" s="82">
        <f t="shared" si="12"/>
        <v>0</v>
      </c>
      <c r="L60" s="26">
        <f t="shared" si="13"/>
        <v>1.5</v>
      </c>
      <c r="M60" s="231" t="str">
        <f t="shared" si="14"/>
        <v xml:space="preserve"> </v>
      </c>
      <c r="N60" s="220"/>
      <c r="O60" s="27" t="str">
        <f t="shared" si="15"/>
        <v xml:space="preserve"> </v>
      </c>
      <c r="P60" s="307" t="str">
        <f t="shared" si="16"/>
        <v xml:space="preserve"> </v>
      </c>
      <c r="Q60" s="220"/>
      <c r="R60" s="1"/>
      <c r="S60" s="1"/>
      <c r="T60" s="1"/>
      <c r="U60" s="1"/>
      <c r="V60" s="1"/>
      <c r="W60" s="1"/>
      <c r="X60" s="1"/>
      <c r="Y60" s="1"/>
      <c r="Z60" s="1"/>
      <c r="AA60" s="1"/>
      <c r="AB60" s="1"/>
    </row>
    <row r="61" spans="1:28" ht="12" customHeight="1">
      <c r="A61" s="24" t="str">
        <f>IF($D$10=0,"-",IF($D$9/$D$10=500,200,IF($D$9/$D$10&lt;=1000,200,IF($D$9/$D$10&lt;=2000,500,1000))))</f>
        <v>-</v>
      </c>
      <c r="B61" s="282" t="str">
        <f t="shared" si="17"/>
        <v xml:space="preserve"> </v>
      </c>
      <c r="C61" s="220"/>
      <c r="D61" s="38" t="str">
        <f t="shared" si="10"/>
        <v>-</v>
      </c>
      <c r="E61" s="283">
        <f>E57</f>
        <v>0</v>
      </c>
      <c r="F61" s="220"/>
      <c r="G61" s="321"/>
      <c r="H61" s="329"/>
      <c r="I61" s="270" t="str">
        <f t="shared" si="11"/>
        <v xml:space="preserve"> </v>
      </c>
      <c r="J61" s="220"/>
      <c r="K61" s="82">
        <f t="shared" si="12"/>
        <v>0</v>
      </c>
      <c r="L61" s="26">
        <f t="shared" si="13"/>
        <v>1.5</v>
      </c>
      <c r="M61" s="231" t="str">
        <f t="shared" si="14"/>
        <v xml:space="preserve"> </v>
      </c>
      <c r="N61" s="220"/>
      <c r="O61" s="27" t="str">
        <f t="shared" si="15"/>
        <v xml:space="preserve"> </v>
      </c>
      <c r="P61" s="307" t="str">
        <f t="shared" si="16"/>
        <v xml:space="preserve"> </v>
      </c>
      <c r="Q61" s="220"/>
      <c r="R61" s="1"/>
      <c r="S61" s="1"/>
      <c r="T61" s="1"/>
      <c r="U61" s="1"/>
      <c r="V61" s="1"/>
      <c r="W61" s="1"/>
      <c r="X61" s="1"/>
      <c r="Y61" s="1"/>
      <c r="Z61" s="1"/>
      <c r="AA61" s="1"/>
      <c r="AB61" s="1"/>
    </row>
    <row r="62" spans="1:28" ht="12" customHeight="1">
      <c r="A62" s="24" t="str">
        <f>IF($D$10=0,"-",IF($D$9/$D$10=500,100,IF($D$9/$D$10&lt;=1000,100,IF($D$9/$D$10&lt;=2000,200,500))))</f>
        <v>-</v>
      </c>
      <c r="B62" s="282" t="str">
        <f t="shared" si="17"/>
        <v xml:space="preserve"> </v>
      </c>
      <c r="C62" s="220"/>
      <c r="D62" s="38" t="str">
        <f t="shared" si="10"/>
        <v>-</v>
      </c>
      <c r="E62" s="283">
        <f>E56</f>
        <v>0</v>
      </c>
      <c r="F62" s="220"/>
      <c r="G62" s="321"/>
      <c r="H62" s="216"/>
      <c r="I62" s="270" t="str">
        <f t="shared" si="11"/>
        <v xml:space="preserve"> </v>
      </c>
      <c r="J62" s="220"/>
      <c r="K62" s="82">
        <f t="shared" si="12"/>
        <v>0</v>
      </c>
      <c r="L62" s="26">
        <f t="shared" si="13"/>
        <v>1.5</v>
      </c>
      <c r="M62" s="231" t="str">
        <f t="shared" si="14"/>
        <v xml:space="preserve"> </v>
      </c>
      <c r="N62" s="220"/>
      <c r="O62" s="27" t="str">
        <f t="shared" si="15"/>
        <v xml:space="preserve"> </v>
      </c>
      <c r="P62" s="307" t="str">
        <f t="shared" si="16"/>
        <v xml:space="preserve"> </v>
      </c>
      <c r="Q62" s="220"/>
      <c r="R62" s="1"/>
      <c r="S62" s="1"/>
      <c r="T62" s="1"/>
      <c r="U62" s="1"/>
      <c r="V62" s="1"/>
      <c r="W62" s="1"/>
      <c r="X62" s="1"/>
      <c r="Y62" s="1"/>
      <c r="Z62" s="1"/>
      <c r="AA62" s="1"/>
      <c r="AB62" s="1"/>
    </row>
    <row r="63" spans="1:28" ht="12" customHeight="1">
      <c r="A63" s="24">
        <v>20</v>
      </c>
      <c r="B63" s="282">
        <f>A63*$D$10</f>
        <v>0</v>
      </c>
      <c r="C63" s="220"/>
      <c r="D63" s="38" t="str">
        <f t="shared" si="10"/>
        <v>-</v>
      </c>
      <c r="E63" s="283">
        <f>E55</f>
        <v>0</v>
      </c>
      <c r="F63" s="220"/>
      <c r="G63" s="321"/>
      <c r="H63" s="216"/>
      <c r="I63" s="270" t="str">
        <f t="shared" si="11"/>
        <v xml:space="preserve"> </v>
      </c>
      <c r="J63" s="220"/>
      <c r="K63" s="82">
        <f t="shared" si="12"/>
        <v>0</v>
      </c>
      <c r="L63" s="26">
        <f t="shared" si="13"/>
        <v>1.5</v>
      </c>
      <c r="M63" s="231" t="str">
        <f t="shared" si="14"/>
        <v xml:space="preserve"> </v>
      </c>
      <c r="N63" s="220"/>
      <c r="O63" s="27" t="str">
        <f t="shared" si="15"/>
        <v xml:space="preserve"> </v>
      </c>
      <c r="P63" s="307" t="str">
        <f t="shared" si="16"/>
        <v xml:space="preserve"> </v>
      </c>
      <c r="Q63" s="220"/>
      <c r="R63" s="1"/>
      <c r="S63" s="1"/>
      <c r="T63" s="1"/>
      <c r="U63" s="1"/>
      <c r="V63" s="1"/>
      <c r="W63" s="1"/>
      <c r="X63" s="1"/>
      <c r="Y63" s="1"/>
      <c r="Z63" s="1"/>
      <c r="AA63" s="1"/>
      <c r="AB63" s="1"/>
    </row>
    <row r="64" spans="1:28" ht="12" customHeight="1">
      <c r="A64" s="28"/>
      <c r="B64" s="31"/>
      <c r="C64" s="32"/>
      <c r="D64" s="1"/>
      <c r="E64" s="1"/>
      <c r="F64" s="1"/>
      <c r="G64" s="1"/>
      <c r="H64" s="1"/>
      <c r="I64" s="1"/>
      <c r="J64" s="1"/>
      <c r="K64" s="93"/>
      <c r="L64" s="93"/>
      <c r="M64" s="1"/>
      <c r="N64" s="3" t="str">
        <f>IF($D$13="English","Test passed?","Test bestanden?")</f>
        <v>Test passed?</v>
      </c>
      <c r="O64" s="27" t="str">
        <f>IF(AND(O55="Y",O56= "Y", O57="Y",O58="Y",O59="Y",O60="Y",O61="Y",O62="Y",O63="Y"),"Y","N")</f>
        <v>N</v>
      </c>
      <c r="P64" s="1"/>
      <c r="Q64" s="1"/>
      <c r="R64" s="1"/>
      <c r="S64" s="1"/>
      <c r="T64" s="1"/>
      <c r="U64" s="1"/>
      <c r="V64" s="1"/>
      <c r="W64" s="1"/>
      <c r="X64" s="1"/>
      <c r="Y64" s="1"/>
      <c r="Z64" s="1"/>
      <c r="AA64" s="1"/>
      <c r="AB64" s="1"/>
    </row>
    <row r="65" spans="1:28" ht="12" customHeight="1">
      <c r="A65" s="48"/>
      <c r="B65" s="31"/>
      <c r="C65" s="32"/>
      <c r="D65" s="1"/>
      <c r="E65" s="1"/>
      <c r="F65" s="1"/>
      <c r="G65" s="1"/>
      <c r="H65" s="1"/>
      <c r="I65" s="1"/>
      <c r="J65" s="1"/>
      <c r="M65" s="1"/>
      <c r="N65" s="1"/>
      <c r="O65" s="6"/>
      <c r="P65" s="125"/>
      <c r="Q65" s="1"/>
      <c r="R65" s="1"/>
      <c r="S65" s="1"/>
      <c r="T65" s="1"/>
      <c r="U65" s="1"/>
      <c r="V65" s="1"/>
      <c r="W65" s="1"/>
      <c r="X65" s="1"/>
      <c r="Y65" s="1"/>
      <c r="Z65" s="1"/>
      <c r="AA65" s="1"/>
      <c r="AB65" s="1"/>
    </row>
    <row r="66" spans="1:28" ht="12" customHeight="1">
      <c r="A66" s="257" t="str">
        <f>IF($D$13="English","If the maximum calculated error in Weighing Test is less or equal to 0,5e, no additional Tare Test has to be performed. ","Wenn der kalkulierte maximale Fehler im Linearitätstest kleiner oder gleich 0,5e ist, muss kein zusätzlich Tara Test durchgeführt werden. ")</f>
        <v xml:space="preserve">If the maximum calculated error in Weighing Test is less or equal to 0,5e, no additional Tare Test has to be performed. </v>
      </c>
      <c r="B66" s="237"/>
      <c r="C66" s="237"/>
      <c r="D66" s="237"/>
      <c r="E66" s="237"/>
      <c r="F66" s="237"/>
      <c r="G66" s="237"/>
      <c r="H66" s="237"/>
      <c r="I66" s="237"/>
      <c r="J66" s="237"/>
      <c r="K66" s="237"/>
      <c r="L66" s="237"/>
      <c r="M66" s="237"/>
      <c r="N66" s="237"/>
      <c r="O66" s="237"/>
      <c r="P66" s="237"/>
      <c r="Q66" s="1"/>
      <c r="R66" s="1"/>
      <c r="S66" s="1"/>
      <c r="T66" s="1"/>
      <c r="U66" s="1"/>
      <c r="V66" s="1"/>
      <c r="W66" s="1"/>
      <c r="X66" s="1"/>
      <c r="Y66" s="1"/>
      <c r="Z66" s="1"/>
      <c r="AA66" s="1"/>
      <c r="AB66" s="1"/>
    </row>
    <row r="67" spans="1:28" ht="12" customHeight="1">
      <c r="A67" s="237"/>
      <c r="B67" s="237"/>
      <c r="C67" s="237"/>
      <c r="D67" s="237"/>
      <c r="E67" s="237"/>
      <c r="F67" s="237"/>
      <c r="G67" s="237"/>
      <c r="H67" s="237"/>
      <c r="I67" s="237"/>
      <c r="J67" s="237"/>
      <c r="K67" s="237"/>
      <c r="L67" s="237"/>
      <c r="M67" s="237"/>
      <c r="N67" s="237"/>
      <c r="O67" s="237"/>
      <c r="P67" s="237"/>
      <c r="Q67" s="1"/>
      <c r="R67" s="1"/>
      <c r="S67" s="1"/>
      <c r="T67" s="1"/>
      <c r="U67" s="1"/>
      <c r="V67" s="1"/>
      <c r="W67" s="1"/>
      <c r="X67" s="1"/>
      <c r="Y67" s="1"/>
      <c r="Z67" s="1"/>
      <c r="AA67" s="1"/>
      <c r="AB67" s="1"/>
    </row>
    <row r="68" spans="1:28" ht="12" customHeight="1">
      <c r="A68" s="48" t="str">
        <f>IF($D$13="English","Does Test 5 have to be performed? ","Muss Test 5 durchgeführt werden? ")</f>
        <v xml:space="preserve">Does Test 5 have to be performed? </v>
      </c>
      <c r="B68" s="39"/>
      <c r="C68" s="39"/>
      <c r="D68" s="39"/>
      <c r="E68" s="39"/>
      <c r="F68" s="27" t="e">
        <f>IF(AND(ABS(M55)&lt;=0.5*$D$10,ABS(M56)&lt;=0.5*$D$10,ABS(M57)&lt;=0.5*$D$10,ABS(M58)&lt;=0.5*$D$10,ABS(M59)&lt;=0.5*$D$10,ABS(M60)&lt;=0.5*$D$10,ABS(M61)&lt;=0.5*$D$10,ABS(M62)&lt;=0.5*$D$10,ABS(M63)&lt;=0.5*$D$10),"N","Y")</f>
        <v>#VALUE!</v>
      </c>
      <c r="G68" s="39"/>
      <c r="H68" s="39"/>
      <c r="I68" s="39"/>
      <c r="J68" s="39"/>
      <c r="K68" s="39"/>
      <c r="L68" s="39"/>
      <c r="M68" s="39"/>
      <c r="N68" s="39"/>
      <c r="O68" s="39"/>
      <c r="P68" s="39"/>
      <c r="Q68" s="1"/>
      <c r="R68" s="1"/>
      <c r="S68" s="1"/>
      <c r="T68" s="1"/>
      <c r="U68" s="1"/>
      <c r="V68" s="1"/>
      <c r="W68" s="1"/>
      <c r="X68" s="1"/>
      <c r="Y68" s="1"/>
      <c r="Z68" s="1"/>
      <c r="AA68" s="1"/>
      <c r="AB68" s="1"/>
    </row>
    <row r="69" spans="1:28" ht="12" customHeight="1">
      <c r="A69" s="39"/>
      <c r="B69" s="39"/>
      <c r="C69" s="39"/>
      <c r="D69" s="39"/>
      <c r="E69" s="39"/>
      <c r="F69" s="39"/>
      <c r="G69" s="39"/>
      <c r="H69" s="39"/>
      <c r="I69" s="39"/>
      <c r="J69" s="39"/>
      <c r="K69" s="39"/>
      <c r="L69" s="39"/>
      <c r="M69" s="39"/>
      <c r="N69" s="39"/>
      <c r="O69" s="39"/>
      <c r="P69" s="39"/>
      <c r="Q69" s="1"/>
      <c r="R69" s="1"/>
      <c r="S69" s="1"/>
      <c r="T69" s="1"/>
      <c r="U69" s="1"/>
      <c r="V69" s="1"/>
      <c r="W69" s="1"/>
      <c r="X69" s="1"/>
      <c r="Y69" s="1"/>
      <c r="Z69" s="1"/>
      <c r="AA69" s="1"/>
      <c r="AB69" s="1"/>
    </row>
    <row r="70" spans="1:28" ht="12" customHeight="1">
      <c r="A70" s="39"/>
      <c r="B70" s="39"/>
      <c r="C70" s="39"/>
      <c r="D70" s="39"/>
      <c r="E70" s="39"/>
      <c r="F70" s="39"/>
      <c r="G70" s="39"/>
      <c r="H70" s="39"/>
      <c r="I70" s="39"/>
      <c r="J70" s="39"/>
      <c r="K70" s="39"/>
      <c r="L70" s="39"/>
      <c r="M70" s="39"/>
      <c r="N70" s="39"/>
      <c r="O70" s="39"/>
      <c r="P70" s="39"/>
      <c r="Q70" s="1"/>
      <c r="R70" s="1"/>
      <c r="S70" s="1"/>
      <c r="T70" s="1"/>
      <c r="U70" s="1"/>
      <c r="V70" s="1"/>
      <c r="W70" s="1"/>
      <c r="X70" s="1"/>
      <c r="Y70" s="1"/>
      <c r="Z70" s="1"/>
      <c r="AA70" s="1"/>
      <c r="AB70" s="1"/>
    </row>
    <row r="71" spans="1:28" ht="12" customHeight="1">
      <c r="A71" s="7" t="str">
        <f>IF($D$13="English","5.  Tare (Weighing Test) - Indicator in hi-res mode:","5. Tara (Richtigkeitsprüfung) - Indikator in Hi-Res-Modus:")</f>
        <v>5.  Tare (Weighing Test) - Indicator in hi-res mode:</v>
      </c>
      <c r="B71" s="50"/>
      <c r="C71" s="50"/>
      <c r="D71" s="50"/>
      <c r="E71" s="50"/>
      <c r="F71" s="50"/>
      <c r="G71" s="50"/>
      <c r="H71" s="1" t="str">
        <f>IF($D$13="English","accordance to EN45501-2015, A.4.6.1","gemäß EN45501-2015, A.4.6.1")</f>
        <v>accordance to EN45501-2015, A.4.6.1</v>
      </c>
      <c r="I71" s="50"/>
      <c r="J71" s="50"/>
      <c r="K71" s="50"/>
      <c r="L71" s="50"/>
      <c r="M71" s="50"/>
      <c r="N71" s="50"/>
      <c r="O71" s="50"/>
      <c r="P71" s="50"/>
      <c r="Q71" s="1"/>
      <c r="R71" s="1"/>
      <c r="S71" s="1"/>
      <c r="T71" s="1"/>
      <c r="U71" s="1"/>
      <c r="V71" s="1"/>
      <c r="W71" s="1"/>
      <c r="X71" s="1"/>
      <c r="Y71" s="1"/>
      <c r="Z71" s="1"/>
      <c r="AA71" s="1"/>
      <c r="AB71" s="1"/>
    </row>
    <row r="72" spans="1:28" ht="12" customHeight="1">
      <c r="A72" s="258" t="str">
        <f>IF($D$13="English","Tare a load between 1/3 Max and 2/3 Max and test up to Max.at 5 load points. Please test at the loads where mpe changes.","Last zwischen 1/3 und 2/3 Max tarieren und bis zur Maximallast bei 5 Lastpunkten prüfen. Bei den Lasten, bei denen sich mpe ändert, muss geprüft werden. ")</f>
        <v>Tare a load between 1/3 Max and 2/3 Max and test up to Max.at 5 load points. Please test at the loads where mpe changes.</v>
      </c>
      <c r="B72" s="237"/>
      <c r="C72" s="237"/>
      <c r="D72" s="237"/>
      <c r="E72" s="237"/>
      <c r="F72" s="237"/>
      <c r="G72" s="237"/>
      <c r="H72" s="237"/>
      <c r="I72" s="237"/>
      <c r="J72" s="237"/>
      <c r="K72" s="237"/>
      <c r="L72" s="237"/>
      <c r="M72" s="237"/>
      <c r="N72" s="237"/>
      <c r="O72" s="237"/>
      <c r="P72" s="237"/>
      <c r="Q72" s="1"/>
      <c r="R72" s="1"/>
      <c r="S72" s="1"/>
      <c r="T72" s="1"/>
      <c r="U72" s="1"/>
      <c r="V72" s="1"/>
      <c r="W72" s="1"/>
      <c r="X72" s="1"/>
      <c r="Y72" s="1"/>
      <c r="Z72" s="1"/>
      <c r="AA72" s="1"/>
      <c r="AB72" s="1"/>
    </row>
    <row r="73" spans="1:28" ht="12" customHeight="1">
      <c r="A73" s="237"/>
      <c r="B73" s="237"/>
      <c r="C73" s="237"/>
      <c r="D73" s="237"/>
      <c r="E73" s="237"/>
      <c r="F73" s="237"/>
      <c r="G73" s="237"/>
      <c r="H73" s="237"/>
      <c r="I73" s="237"/>
      <c r="J73" s="237"/>
      <c r="K73" s="237"/>
      <c r="L73" s="237"/>
      <c r="M73" s="237"/>
      <c r="N73" s="237"/>
      <c r="O73" s="237"/>
      <c r="P73" s="237"/>
      <c r="Q73" s="1"/>
      <c r="R73" s="1"/>
      <c r="S73" s="1"/>
      <c r="T73" s="1"/>
      <c r="U73" s="1"/>
      <c r="V73" s="1"/>
      <c r="W73" s="1"/>
      <c r="X73" s="1"/>
      <c r="Y73" s="1"/>
      <c r="Z73" s="1"/>
      <c r="AA73" s="1"/>
      <c r="AB73" s="1"/>
    </row>
    <row r="74" spans="1:28" ht="12" customHeight="1">
      <c r="A74" s="7" t="str">
        <f>IF($D$13="English","Tared load:","Tarierte Last:")</f>
        <v>Tared load:</v>
      </c>
      <c r="B74" s="31"/>
      <c r="C74" s="279"/>
      <c r="D74" s="216"/>
      <c r="E74" s="1" t="s">
        <v>33</v>
      </c>
      <c r="F74" s="1"/>
      <c r="G74" s="6"/>
      <c r="H74" s="1"/>
      <c r="J74" s="17"/>
      <c r="K74" s="1"/>
      <c r="L74" s="1"/>
      <c r="M74" s="1"/>
      <c r="N74" s="1"/>
      <c r="O74" s="1"/>
      <c r="P74" s="1"/>
      <c r="Q74" s="1"/>
      <c r="R74" s="1"/>
      <c r="S74" s="1"/>
      <c r="T74" s="1"/>
      <c r="U74" s="1"/>
      <c r="V74" s="1"/>
      <c r="W74" s="1"/>
      <c r="X74" s="1"/>
      <c r="Y74" s="1"/>
      <c r="Z74" s="1"/>
      <c r="AA74" s="1"/>
      <c r="AB74" s="1"/>
    </row>
    <row r="75" spans="1:28" ht="12" customHeight="1">
      <c r="A75" s="231" t="s">
        <v>26</v>
      </c>
      <c r="B75" s="223"/>
      <c r="C75" s="220"/>
      <c r="D75" s="19" t="s">
        <v>72</v>
      </c>
      <c r="E75" s="231" t="s">
        <v>27</v>
      </c>
      <c r="F75" s="220"/>
      <c r="G75" s="231" t="s">
        <v>73</v>
      </c>
      <c r="H75" s="220"/>
      <c r="I75" s="18" t="s">
        <v>29</v>
      </c>
      <c r="J75" s="21"/>
      <c r="K75" s="232" t="s">
        <v>119</v>
      </c>
      <c r="L75" s="223"/>
      <c r="M75" s="220"/>
      <c r="N75" s="19" t="s">
        <v>30</v>
      </c>
      <c r="O75" s="308" t="str">
        <f>IF($J$18="M","L calc"," ")</f>
        <v xml:space="preserve"> </v>
      </c>
      <c r="P75" s="223"/>
      <c r="Q75" s="220"/>
      <c r="R75" s="1"/>
      <c r="S75" s="1"/>
      <c r="T75" s="1"/>
      <c r="U75" s="1"/>
      <c r="V75" s="1"/>
      <c r="W75" s="1"/>
      <c r="X75" s="1"/>
      <c r="Y75" s="1"/>
      <c r="Z75" s="1"/>
      <c r="AA75" s="1"/>
      <c r="AB75" s="1"/>
    </row>
    <row r="76" spans="1:28" ht="12" customHeight="1">
      <c r="A76" s="259" t="s">
        <v>33</v>
      </c>
      <c r="B76" s="223"/>
      <c r="C76" s="220"/>
      <c r="D76" s="51"/>
      <c r="E76" s="231" t="s">
        <v>33</v>
      </c>
      <c r="F76" s="220"/>
      <c r="G76" s="256" t="s">
        <v>33</v>
      </c>
      <c r="H76" s="220"/>
      <c r="I76" s="52" t="s">
        <v>33</v>
      </c>
      <c r="J76" s="52" t="s">
        <v>32</v>
      </c>
      <c r="K76" s="231" t="s">
        <v>33</v>
      </c>
      <c r="L76" s="223"/>
      <c r="M76" s="223"/>
      <c r="N76" s="19" t="s">
        <v>34</v>
      </c>
      <c r="O76" s="308" t="str">
        <f>IF($J$18="M","[kg]"," ")</f>
        <v xml:space="preserve"> </v>
      </c>
      <c r="P76" s="223"/>
      <c r="Q76" s="220"/>
      <c r="R76" s="1"/>
      <c r="S76" s="1"/>
      <c r="T76" s="1"/>
      <c r="U76" s="1"/>
      <c r="V76" s="1"/>
      <c r="W76" s="1"/>
      <c r="X76" s="1"/>
      <c r="Y76" s="1"/>
      <c r="Z76" s="1"/>
      <c r="AA76" s="1"/>
      <c r="AB76" s="1"/>
    </row>
    <row r="77" spans="1:28" ht="12" customHeight="1">
      <c r="A77" s="293"/>
      <c r="B77" s="215"/>
      <c r="C77" s="216"/>
      <c r="D77" s="51" t="str">
        <f t="shared" ref="D77:D85" si="18">IF($D$10=0," ",A77/$D$10)</f>
        <v xml:space="preserve"> </v>
      </c>
      <c r="E77" s="320"/>
      <c r="F77" s="216"/>
      <c r="G77" s="270" t="str">
        <f t="shared" ref="G77:G85" si="19">IF(E77=0," ",IF($J$18="M",(E77-O77),(E77-A77)))</f>
        <v xml:space="preserve"> </v>
      </c>
      <c r="H77" s="220"/>
      <c r="I77" s="90" t="str">
        <f t="shared" ref="I77:I85" si="20">IF($D$9=0," ",J77*$D$10)</f>
        <v xml:space="preserve"> </v>
      </c>
      <c r="J77" s="26">
        <f t="shared" ref="J77:J85" si="21">IF(D77=0,0,IF(D77&lt;=500,0.5,(IF(D77&lt;=2000,1,IF(D77&gt;2000,1.5," ")))))</f>
        <v>1.5</v>
      </c>
      <c r="K77" s="270" t="str">
        <f t="shared" ref="K77:K85" si="22">IF(E77=0," ",IF($E$48=" "," ",ROUND(G77-$E$48,3)))</f>
        <v xml:space="preserve"> </v>
      </c>
      <c r="L77" s="223"/>
      <c r="M77" s="220"/>
      <c r="N77" s="27" t="str">
        <f t="shared" ref="N77:N85" si="23">IF(K77=" "," ",IF(ABS(K77)&lt;=I77,"Y","N"))</f>
        <v xml:space="preserve"> </v>
      </c>
      <c r="O77" s="307" t="str">
        <f t="shared" ref="O77:O85" si="24">IF($J$18="M",A77*(1-($K$21-$D$21)/$D$21)," ")</f>
        <v xml:space="preserve"> </v>
      </c>
      <c r="P77" s="223"/>
      <c r="Q77" s="220"/>
      <c r="R77" s="1"/>
      <c r="S77" s="1"/>
      <c r="T77" s="1"/>
      <c r="U77" s="1"/>
      <c r="V77" s="1"/>
      <c r="W77" s="1"/>
      <c r="X77" s="1"/>
      <c r="Y77" s="1"/>
      <c r="Z77" s="1"/>
      <c r="AA77" s="1"/>
      <c r="AB77" s="1"/>
    </row>
    <row r="78" spans="1:28" ht="12" customHeight="1">
      <c r="A78" s="293"/>
      <c r="B78" s="215"/>
      <c r="C78" s="216"/>
      <c r="D78" s="51" t="str">
        <f t="shared" si="18"/>
        <v xml:space="preserve"> </v>
      </c>
      <c r="E78" s="320"/>
      <c r="F78" s="216"/>
      <c r="G78" s="270" t="str">
        <f t="shared" si="19"/>
        <v xml:space="preserve"> </v>
      </c>
      <c r="H78" s="220"/>
      <c r="I78" s="90" t="str">
        <f t="shared" si="20"/>
        <v xml:space="preserve"> </v>
      </c>
      <c r="J78" s="26">
        <f t="shared" si="21"/>
        <v>1.5</v>
      </c>
      <c r="K78" s="270" t="str">
        <f t="shared" si="22"/>
        <v xml:space="preserve"> </v>
      </c>
      <c r="L78" s="223"/>
      <c r="M78" s="220"/>
      <c r="N78" s="27" t="str">
        <f t="shared" si="23"/>
        <v xml:space="preserve"> </v>
      </c>
      <c r="O78" s="307" t="str">
        <f t="shared" si="24"/>
        <v xml:space="preserve"> </v>
      </c>
      <c r="P78" s="223"/>
      <c r="Q78" s="220"/>
      <c r="R78" s="1"/>
      <c r="S78" s="1"/>
      <c r="T78" s="1"/>
      <c r="U78" s="1"/>
      <c r="V78" s="1"/>
      <c r="W78" s="1"/>
      <c r="X78" s="1"/>
      <c r="Y78" s="1"/>
      <c r="Z78" s="1"/>
      <c r="AA78" s="1"/>
      <c r="AB78" s="1"/>
    </row>
    <row r="79" spans="1:28" ht="12" customHeight="1">
      <c r="A79" s="293"/>
      <c r="B79" s="215"/>
      <c r="C79" s="216"/>
      <c r="D79" s="51" t="str">
        <f t="shared" si="18"/>
        <v xml:space="preserve"> </v>
      </c>
      <c r="E79" s="320"/>
      <c r="F79" s="216"/>
      <c r="G79" s="270" t="str">
        <f t="shared" si="19"/>
        <v xml:space="preserve"> </v>
      </c>
      <c r="H79" s="220"/>
      <c r="I79" s="90" t="str">
        <f t="shared" si="20"/>
        <v xml:space="preserve"> </v>
      </c>
      <c r="J79" s="26">
        <f t="shared" si="21"/>
        <v>1.5</v>
      </c>
      <c r="K79" s="270" t="str">
        <f t="shared" si="22"/>
        <v xml:space="preserve"> </v>
      </c>
      <c r="L79" s="223"/>
      <c r="M79" s="220"/>
      <c r="N79" s="27" t="str">
        <f t="shared" si="23"/>
        <v xml:space="preserve"> </v>
      </c>
      <c r="O79" s="307" t="str">
        <f t="shared" si="24"/>
        <v xml:space="preserve"> </v>
      </c>
      <c r="P79" s="223"/>
      <c r="Q79" s="220"/>
      <c r="R79" s="1"/>
      <c r="S79" s="1"/>
      <c r="T79" s="1"/>
      <c r="U79" s="1"/>
      <c r="V79" s="1"/>
      <c r="W79" s="1"/>
      <c r="X79" s="1"/>
      <c r="Y79" s="1"/>
      <c r="Z79" s="1"/>
      <c r="AA79" s="1"/>
      <c r="AB79" s="1"/>
    </row>
    <row r="80" spans="1:28" ht="12" customHeight="1">
      <c r="A80" s="293"/>
      <c r="B80" s="215"/>
      <c r="C80" s="216"/>
      <c r="D80" s="51" t="str">
        <f t="shared" si="18"/>
        <v xml:space="preserve"> </v>
      </c>
      <c r="E80" s="320"/>
      <c r="F80" s="216"/>
      <c r="G80" s="270" t="str">
        <f t="shared" si="19"/>
        <v xml:space="preserve"> </v>
      </c>
      <c r="H80" s="220"/>
      <c r="I80" s="90" t="str">
        <f t="shared" si="20"/>
        <v xml:space="preserve"> </v>
      </c>
      <c r="J80" s="26">
        <f t="shared" si="21"/>
        <v>1.5</v>
      </c>
      <c r="K80" s="270" t="str">
        <f t="shared" si="22"/>
        <v xml:space="preserve"> </v>
      </c>
      <c r="L80" s="223"/>
      <c r="M80" s="220"/>
      <c r="N80" s="27" t="str">
        <f t="shared" si="23"/>
        <v xml:space="preserve"> </v>
      </c>
      <c r="O80" s="307" t="str">
        <f t="shared" si="24"/>
        <v xml:space="preserve"> </v>
      </c>
      <c r="P80" s="223"/>
      <c r="Q80" s="220"/>
      <c r="R80" s="1"/>
      <c r="S80" s="1"/>
      <c r="T80" s="1"/>
      <c r="U80" s="1"/>
      <c r="V80" s="1"/>
      <c r="W80" s="1"/>
      <c r="X80" s="1"/>
      <c r="Y80" s="1"/>
      <c r="Z80" s="1"/>
      <c r="AA80" s="1"/>
      <c r="AB80" s="1"/>
    </row>
    <row r="81" spans="1:28" ht="12" customHeight="1">
      <c r="A81" s="293"/>
      <c r="B81" s="215"/>
      <c r="C81" s="216"/>
      <c r="D81" s="51" t="str">
        <f t="shared" si="18"/>
        <v xml:space="preserve"> </v>
      </c>
      <c r="E81" s="320"/>
      <c r="F81" s="216"/>
      <c r="G81" s="270" t="str">
        <f t="shared" si="19"/>
        <v xml:space="preserve"> </v>
      </c>
      <c r="H81" s="220"/>
      <c r="I81" s="90" t="str">
        <f t="shared" si="20"/>
        <v xml:space="preserve"> </v>
      </c>
      <c r="J81" s="26">
        <f t="shared" si="21"/>
        <v>1.5</v>
      </c>
      <c r="K81" s="270" t="str">
        <f t="shared" si="22"/>
        <v xml:space="preserve"> </v>
      </c>
      <c r="L81" s="223"/>
      <c r="M81" s="220"/>
      <c r="N81" s="27" t="str">
        <f t="shared" si="23"/>
        <v xml:space="preserve"> </v>
      </c>
      <c r="O81" s="307" t="str">
        <f t="shared" si="24"/>
        <v xml:space="preserve"> </v>
      </c>
      <c r="P81" s="223"/>
      <c r="Q81" s="220"/>
      <c r="R81" s="1"/>
      <c r="S81" s="1"/>
      <c r="T81" s="1"/>
      <c r="U81" s="1"/>
      <c r="V81" s="1"/>
      <c r="W81" s="1"/>
      <c r="X81" s="1"/>
      <c r="Y81" s="1"/>
      <c r="Z81" s="1"/>
      <c r="AA81" s="1"/>
      <c r="AB81" s="1"/>
    </row>
    <row r="82" spans="1:28" ht="12" customHeight="1">
      <c r="A82" s="319">
        <f>A80</f>
        <v>0</v>
      </c>
      <c r="B82" s="223"/>
      <c r="C82" s="220"/>
      <c r="D82" s="51" t="str">
        <f t="shared" si="18"/>
        <v xml:space="preserve"> </v>
      </c>
      <c r="E82" s="320"/>
      <c r="F82" s="216"/>
      <c r="G82" s="270" t="str">
        <f t="shared" si="19"/>
        <v xml:space="preserve"> </v>
      </c>
      <c r="H82" s="220"/>
      <c r="I82" s="90" t="str">
        <f t="shared" si="20"/>
        <v xml:space="preserve"> </v>
      </c>
      <c r="J82" s="26">
        <f t="shared" si="21"/>
        <v>1.5</v>
      </c>
      <c r="K82" s="270" t="str">
        <f t="shared" si="22"/>
        <v xml:space="preserve"> </v>
      </c>
      <c r="L82" s="223"/>
      <c r="M82" s="220"/>
      <c r="N82" s="27" t="str">
        <f t="shared" si="23"/>
        <v xml:space="preserve"> </v>
      </c>
      <c r="O82" s="307" t="str">
        <f t="shared" si="24"/>
        <v xml:space="preserve"> </v>
      </c>
      <c r="P82" s="223"/>
      <c r="Q82" s="220"/>
      <c r="R82" s="17"/>
      <c r="S82" s="1"/>
      <c r="T82" s="1"/>
      <c r="U82" s="1"/>
      <c r="V82" s="1"/>
      <c r="W82" s="1"/>
      <c r="X82" s="1"/>
      <c r="Y82" s="1"/>
      <c r="Z82" s="1"/>
      <c r="AA82" s="1"/>
      <c r="AB82" s="1"/>
    </row>
    <row r="83" spans="1:28" ht="12" customHeight="1">
      <c r="A83" s="319">
        <f>A79</f>
        <v>0</v>
      </c>
      <c r="B83" s="223"/>
      <c r="C83" s="220"/>
      <c r="D83" s="51" t="str">
        <f t="shared" si="18"/>
        <v xml:space="preserve"> </v>
      </c>
      <c r="E83" s="320"/>
      <c r="F83" s="216"/>
      <c r="G83" s="270" t="str">
        <f t="shared" si="19"/>
        <v xml:space="preserve"> </v>
      </c>
      <c r="H83" s="220"/>
      <c r="I83" s="90" t="str">
        <f t="shared" si="20"/>
        <v xml:space="preserve"> </v>
      </c>
      <c r="J83" s="26">
        <f t="shared" si="21"/>
        <v>1.5</v>
      </c>
      <c r="K83" s="270" t="str">
        <f t="shared" si="22"/>
        <v xml:space="preserve"> </v>
      </c>
      <c r="L83" s="223"/>
      <c r="M83" s="220"/>
      <c r="N83" s="27" t="str">
        <f t="shared" si="23"/>
        <v xml:space="preserve"> </v>
      </c>
      <c r="O83" s="307" t="str">
        <f t="shared" si="24"/>
        <v xml:space="preserve"> </v>
      </c>
      <c r="P83" s="223"/>
      <c r="Q83" s="220"/>
      <c r="R83" s="17"/>
      <c r="S83" s="1"/>
      <c r="T83" s="1"/>
      <c r="U83" s="1"/>
      <c r="V83" s="1"/>
      <c r="W83" s="1"/>
      <c r="X83" s="1"/>
      <c r="Y83" s="1"/>
      <c r="Z83" s="1"/>
      <c r="AA83" s="1"/>
      <c r="AB83" s="1"/>
    </row>
    <row r="84" spans="1:28" ht="12" customHeight="1">
      <c r="A84" s="319">
        <f>A78</f>
        <v>0</v>
      </c>
      <c r="B84" s="223"/>
      <c r="C84" s="220"/>
      <c r="D84" s="51" t="str">
        <f t="shared" si="18"/>
        <v xml:space="preserve"> </v>
      </c>
      <c r="E84" s="320"/>
      <c r="F84" s="216"/>
      <c r="G84" s="270" t="str">
        <f t="shared" si="19"/>
        <v xml:space="preserve"> </v>
      </c>
      <c r="H84" s="220"/>
      <c r="I84" s="90" t="str">
        <f t="shared" si="20"/>
        <v xml:space="preserve"> </v>
      </c>
      <c r="J84" s="26">
        <f t="shared" si="21"/>
        <v>1.5</v>
      </c>
      <c r="K84" s="270" t="str">
        <f t="shared" si="22"/>
        <v xml:space="preserve"> </v>
      </c>
      <c r="L84" s="223"/>
      <c r="M84" s="220"/>
      <c r="N84" s="27" t="str">
        <f t="shared" si="23"/>
        <v xml:space="preserve"> </v>
      </c>
      <c r="O84" s="307" t="str">
        <f t="shared" si="24"/>
        <v xml:space="preserve"> </v>
      </c>
      <c r="P84" s="223"/>
      <c r="Q84" s="220"/>
      <c r="R84" s="17"/>
      <c r="S84" s="1"/>
      <c r="T84" s="1"/>
      <c r="U84" s="1"/>
      <c r="V84" s="1"/>
      <c r="W84" s="1"/>
      <c r="X84" s="1"/>
      <c r="Y84" s="1"/>
      <c r="Z84" s="1"/>
      <c r="AA84" s="1"/>
      <c r="AB84" s="1"/>
    </row>
    <row r="85" spans="1:28" ht="12" customHeight="1">
      <c r="A85" s="319">
        <f>A77</f>
        <v>0</v>
      </c>
      <c r="B85" s="223"/>
      <c r="C85" s="220"/>
      <c r="D85" s="51" t="str">
        <f t="shared" si="18"/>
        <v xml:space="preserve"> </v>
      </c>
      <c r="E85" s="320"/>
      <c r="F85" s="216"/>
      <c r="G85" s="270" t="str">
        <f t="shared" si="19"/>
        <v xml:space="preserve"> </v>
      </c>
      <c r="H85" s="220"/>
      <c r="I85" s="90" t="str">
        <f t="shared" si="20"/>
        <v xml:space="preserve"> </v>
      </c>
      <c r="J85" s="26">
        <f t="shared" si="21"/>
        <v>1.5</v>
      </c>
      <c r="K85" s="270" t="str">
        <f t="shared" si="22"/>
        <v xml:space="preserve"> </v>
      </c>
      <c r="L85" s="223"/>
      <c r="M85" s="220"/>
      <c r="N85" s="27" t="str">
        <f t="shared" si="23"/>
        <v xml:space="preserve"> </v>
      </c>
      <c r="O85" s="307" t="str">
        <f t="shared" si="24"/>
        <v xml:space="preserve"> </v>
      </c>
      <c r="P85" s="223"/>
      <c r="Q85" s="220"/>
      <c r="R85" s="17"/>
      <c r="S85" s="1"/>
      <c r="T85" s="1"/>
      <c r="U85" s="1"/>
      <c r="V85" s="1"/>
      <c r="W85" s="1"/>
      <c r="X85" s="1"/>
      <c r="Y85" s="1"/>
      <c r="Z85" s="1"/>
      <c r="AA85" s="1"/>
      <c r="AB85" s="1"/>
    </row>
    <row r="86" spans="1:28" ht="12" customHeight="1">
      <c r="A86" s="1"/>
      <c r="B86" s="53"/>
      <c r="C86" s="40"/>
      <c r="D86" s="1"/>
      <c r="E86" s="1"/>
      <c r="F86" s="1"/>
      <c r="G86" s="31"/>
      <c r="H86" s="31"/>
      <c r="I86" s="1"/>
      <c r="J86" s="1"/>
      <c r="K86" s="1"/>
      <c r="L86" s="54"/>
      <c r="M86" s="6" t="str">
        <f>IF($D$13="English","Test passed?","Test bestanden?")</f>
        <v>Test passed?</v>
      </c>
      <c r="N86" s="27" t="str">
        <f>IF(AND(N77="Y",N78="Y",N79="Y",N80="Y",N81="Y",N82="Y",N83="Y",N84="Y",N85="Y"),"Y","N")</f>
        <v>N</v>
      </c>
      <c r="O86" s="17"/>
      <c r="P86" s="1"/>
      <c r="Q86" s="1"/>
      <c r="R86" s="1"/>
      <c r="S86" s="1"/>
      <c r="T86" s="1"/>
      <c r="U86" s="1"/>
      <c r="V86" s="1"/>
      <c r="W86" s="1"/>
      <c r="X86" s="1"/>
      <c r="Y86" s="1"/>
      <c r="Z86" s="1"/>
      <c r="AA86" s="1"/>
      <c r="AB86" s="1"/>
    </row>
    <row r="87" spans="1:28" ht="12" customHeight="1">
      <c r="A87" s="47"/>
      <c r="B87" s="50"/>
      <c r="C87" s="50"/>
      <c r="D87" s="50"/>
      <c r="E87" s="50"/>
      <c r="F87" s="50"/>
      <c r="G87" s="50"/>
      <c r="H87" s="50"/>
      <c r="I87" s="50"/>
      <c r="J87" s="50"/>
      <c r="K87" s="50"/>
      <c r="L87" s="50"/>
      <c r="M87" s="50"/>
      <c r="N87" s="50"/>
      <c r="O87" s="50"/>
      <c r="P87" s="50"/>
      <c r="Q87" s="1"/>
      <c r="R87" s="1"/>
      <c r="S87" s="1"/>
      <c r="T87" s="1"/>
      <c r="U87" s="1"/>
      <c r="V87" s="1"/>
      <c r="W87" s="1"/>
      <c r="X87" s="1"/>
      <c r="Y87" s="1"/>
      <c r="Z87" s="1"/>
      <c r="AA87" s="1"/>
      <c r="AB87" s="1"/>
    </row>
    <row r="88" spans="1:28" ht="12" customHeight="1">
      <c r="A88" s="7" t="str">
        <f>IF($D$13="English","6.  Eccentricity Test (Indicator in hi-res mode)","6.  Prüfung bei Außermittiger Belastung (Indicator in hi-res mode)")</f>
        <v>6.  Eccentricity Test (Indicator in hi-res mode)</v>
      </c>
      <c r="B88" s="1"/>
      <c r="C88" s="6"/>
      <c r="D88" s="8"/>
      <c r="E88" s="8"/>
      <c r="F88" s="1"/>
      <c r="G88" s="1"/>
      <c r="H88" s="1" t="str">
        <f>IF($D$13="English","accordance to EN45501-2015, A.4.7","gemäß EN45501-2015, A.4.7")</f>
        <v>accordance to EN45501-2015, A.4.7</v>
      </c>
      <c r="I88" s="1"/>
      <c r="J88" s="1"/>
      <c r="K88" s="6"/>
      <c r="L88" s="6"/>
      <c r="M88" s="6"/>
      <c r="N88" s="1"/>
      <c r="O88" s="1"/>
      <c r="P88" s="1"/>
      <c r="Q88" s="1"/>
      <c r="R88" s="1"/>
      <c r="S88" s="1"/>
      <c r="T88" s="1"/>
      <c r="U88" s="1"/>
      <c r="V88" s="1"/>
      <c r="W88" s="1"/>
      <c r="X88" s="1"/>
      <c r="Y88" s="1"/>
      <c r="Z88" s="1"/>
      <c r="AA88" s="1"/>
      <c r="AB88" s="1"/>
    </row>
    <row r="89" spans="1:28" ht="15" customHeight="1">
      <c r="A89" s="7"/>
      <c r="B89" s="7" t="str">
        <f>IF($D$13="English","Load position","Belastungsort")</f>
        <v>Load position</v>
      </c>
      <c r="C89" s="1"/>
      <c r="D89" s="1"/>
      <c r="E89" s="1"/>
      <c r="F89" s="1"/>
      <c r="G89" s="1"/>
      <c r="H89" s="1"/>
      <c r="I89" s="1"/>
      <c r="J89" s="1"/>
      <c r="K89" s="1"/>
      <c r="L89" s="1"/>
      <c r="M89" s="1"/>
      <c r="N89" s="1"/>
      <c r="O89" s="1"/>
      <c r="P89" s="1"/>
      <c r="R89" s="1"/>
      <c r="S89" s="1"/>
      <c r="T89" s="1"/>
      <c r="U89" s="1"/>
      <c r="V89" s="1"/>
      <c r="W89" s="1"/>
      <c r="X89" s="1"/>
      <c r="Y89" s="1"/>
      <c r="Z89" s="1"/>
      <c r="AA89" s="1"/>
      <c r="AB89" s="1"/>
    </row>
    <row r="90" spans="1:28" ht="12" customHeight="1">
      <c r="A90" s="7"/>
      <c r="B90" s="55">
        <v>1</v>
      </c>
      <c r="C90" s="56"/>
      <c r="D90" s="57">
        <f>IF($Q$95="Y",2,4)</f>
        <v>4</v>
      </c>
      <c r="E90" s="58"/>
      <c r="F90" s="57" t="str">
        <f>IF(AND($G$95=4,Q95="N")," ",IF($Q$95="Y",3,5))</f>
        <v xml:space="preserve"> </v>
      </c>
      <c r="G90" s="56"/>
      <c r="H90" s="57" t="str">
        <f>IF(AND(OR($G$95=4,$G$95=6),Q95="N")," ",IF($Q$95="Y",4,8))</f>
        <v xml:space="preserve"> </v>
      </c>
      <c r="I90" s="56"/>
      <c r="J90" s="57" t="str">
        <f>IF(AND(OR($G$95=4,$G$95=6,$G$95=8),$Q$95="N")," ",IF($Q$95="Y"," ",9))</f>
        <v xml:space="preserve"> </v>
      </c>
      <c r="K90" s="56"/>
      <c r="L90" s="57" t="str">
        <f>IF(AND(OR($G$95=4,$G$95=6,$G$95=8,$G95=10),$Q$95="N")," ",IF($Q$95="Y"," ",11))</f>
        <v xml:space="preserve"> </v>
      </c>
      <c r="M90" s="56"/>
      <c r="O90" s="1"/>
      <c r="P90" s="1"/>
      <c r="Q90" s="23" t="s">
        <v>76</v>
      </c>
      <c r="R90" s="1"/>
      <c r="S90" s="1"/>
      <c r="T90" s="1"/>
      <c r="U90" s="1"/>
      <c r="V90" s="1"/>
      <c r="W90" s="1"/>
      <c r="X90" s="1"/>
      <c r="Y90" s="1"/>
      <c r="Z90" s="1"/>
      <c r="AA90" s="1"/>
      <c r="AB90" s="1"/>
    </row>
    <row r="91" spans="1:28" ht="12" customHeight="1">
      <c r="A91" s="7"/>
      <c r="B91" s="59"/>
      <c r="C91" s="60"/>
      <c r="D91" s="61"/>
      <c r="E91" s="61"/>
      <c r="F91" s="62"/>
      <c r="G91" s="60"/>
      <c r="H91" s="61"/>
      <c r="I91" s="60"/>
      <c r="J91" s="59"/>
      <c r="K91" s="60"/>
      <c r="L91" s="59"/>
      <c r="M91" s="60"/>
      <c r="N91" s="1"/>
      <c r="O91" s="1"/>
      <c r="P91" s="1"/>
      <c r="Q91" s="1"/>
      <c r="R91" s="1"/>
      <c r="S91" s="1"/>
      <c r="T91" s="1"/>
      <c r="U91" s="1"/>
      <c r="V91" s="1"/>
      <c r="W91" s="1"/>
      <c r="X91" s="1"/>
      <c r="Y91" s="1"/>
      <c r="Z91" s="1"/>
      <c r="AA91" s="1"/>
      <c r="AB91" s="1"/>
    </row>
    <row r="92" spans="1:28" ht="12" customHeight="1">
      <c r="A92" s="7"/>
      <c r="B92" s="55">
        <f>IF($Q$95="Y"," ",2)</f>
        <v>2</v>
      </c>
      <c r="C92" s="63" t="s">
        <v>77</v>
      </c>
      <c r="D92" s="55">
        <f>IF($Q$95="Y"," ",3)</f>
        <v>3</v>
      </c>
      <c r="E92" s="58"/>
      <c r="F92" s="57" t="str">
        <f>IF($G$95=4," ",IF($Q$95="Y"," ",6))</f>
        <v xml:space="preserve"> </v>
      </c>
      <c r="G92" s="63"/>
      <c r="H92" s="57" t="str">
        <f>IF(OR($G$95=4,$G$95=6)," ",IF($Q$95="Y"," ",7))</f>
        <v xml:space="preserve"> </v>
      </c>
      <c r="I92" s="63"/>
      <c r="J92" s="57" t="str">
        <f>IF(AND(OR($G$95=4,$G$95=6,$G$95=8),$Q$95="N")," ",IF($Q$95="Y"," ",10))</f>
        <v xml:space="preserve"> </v>
      </c>
      <c r="K92" s="56"/>
      <c r="L92" s="57" t="str">
        <f>IF(AND(OR($G$95=4,$G$95=6,$G$95=8,$G95=10),$Q$95="N")," ",IF($Q$95="Y"," ",12))</f>
        <v xml:space="preserve"> </v>
      </c>
      <c r="M92" s="56"/>
      <c r="N92" s="1"/>
      <c r="O92" s="1"/>
      <c r="P92" s="1"/>
      <c r="Q92" s="1"/>
      <c r="R92" s="1"/>
      <c r="S92" s="1"/>
      <c r="T92" s="1"/>
      <c r="U92" s="1"/>
      <c r="V92" s="1"/>
      <c r="W92" s="1"/>
      <c r="X92" s="1"/>
      <c r="Y92" s="1"/>
      <c r="Z92" s="1"/>
      <c r="AA92" s="1"/>
      <c r="AB92" s="1"/>
    </row>
    <row r="93" spans="1:28" ht="12" customHeight="1">
      <c r="A93" s="7"/>
      <c r="B93" s="59"/>
      <c r="C93" s="60"/>
      <c r="D93" s="61"/>
      <c r="E93" s="64"/>
      <c r="F93" s="61"/>
      <c r="G93" s="60"/>
      <c r="H93" s="61"/>
      <c r="I93" s="60"/>
      <c r="J93" s="59"/>
      <c r="K93" s="60"/>
      <c r="L93" s="59"/>
      <c r="M93" s="60"/>
      <c r="N93" s="1"/>
      <c r="O93" s="1"/>
      <c r="P93" s="1"/>
      <c r="Q93" s="1"/>
      <c r="R93" s="1"/>
      <c r="S93" s="1"/>
      <c r="T93" s="1"/>
      <c r="U93" s="1"/>
      <c r="V93" s="1"/>
      <c r="W93" s="1"/>
      <c r="X93" s="1"/>
      <c r="Y93" s="1"/>
      <c r="Z93" s="1"/>
      <c r="AA93" s="1"/>
      <c r="AB93" s="1"/>
    </row>
    <row r="94" spans="1:28" ht="12" customHeight="1">
      <c r="A94" s="7"/>
      <c r="B94" s="1"/>
      <c r="C94" s="1"/>
      <c r="D94" s="1"/>
      <c r="E94" s="1"/>
      <c r="F94" s="1"/>
      <c r="G94" s="1"/>
      <c r="H94" s="1"/>
      <c r="I94" s="1"/>
      <c r="J94" s="236" t="str">
        <f>IF($D$13="English","Load positions in one line (e.g. weighing belt)?","Belastungsorte in einer Reihe (z.B. Bandwaage)?")</f>
        <v>Load positions in one line (e.g. weighing belt)?</v>
      </c>
      <c r="K94" s="237"/>
      <c r="L94" s="237"/>
      <c r="M94" s="237"/>
      <c r="N94" s="237"/>
      <c r="O94" s="237"/>
      <c r="P94" s="1"/>
      <c r="Q94" s="1"/>
      <c r="R94" s="1"/>
      <c r="S94" s="1"/>
      <c r="T94" s="1"/>
      <c r="U94" s="1"/>
      <c r="V94" s="1"/>
      <c r="W94" s="1"/>
      <c r="X94" s="1"/>
      <c r="Y94" s="1"/>
      <c r="Z94" s="1"/>
      <c r="AA94" s="1"/>
      <c r="AB94" s="1"/>
    </row>
    <row r="95" spans="1:28" ht="12" customHeight="1">
      <c r="A95" s="7"/>
      <c r="B95" s="1" t="str">
        <f>IF($D$13="English","number of load carrier","Anzahl Auflager")</f>
        <v>number of load carrier</v>
      </c>
      <c r="C95" s="1"/>
      <c r="F95" s="23" t="s">
        <v>76</v>
      </c>
      <c r="G95" s="171">
        <v>4</v>
      </c>
      <c r="H95" s="1"/>
      <c r="I95" s="1"/>
      <c r="J95" s="237"/>
      <c r="K95" s="237"/>
      <c r="L95" s="237"/>
      <c r="M95" s="237"/>
      <c r="N95" s="237"/>
      <c r="O95" s="237"/>
      <c r="Q95" s="172" t="s">
        <v>78</v>
      </c>
      <c r="R95" s="1"/>
      <c r="S95" s="1"/>
      <c r="T95" s="1"/>
      <c r="U95" s="1"/>
      <c r="V95" s="1"/>
      <c r="W95" s="1"/>
      <c r="X95" s="1"/>
      <c r="Y95" s="1"/>
      <c r="Z95" s="1"/>
      <c r="AA95" s="1"/>
      <c r="AB95" s="1"/>
    </row>
    <row r="96" spans="1:28" ht="12" customHeight="1">
      <c r="A96" s="7"/>
      <c r="B96" s="1"/>
      <c r="C96" s="1"/>
      <c r="D96" s="1"/>
      <c r="E96" s="1"/>
      <c r="F96" s="1"/>
      <c r="G96" s="1"/>
      <c r="H96" s="1"/>
      <c r="I96" s="1"/>
      <c r="J96" s="66"/>
      <c r="K96" s="1"/>
      <c r="L96" s="1"/>
      <c r="M96" s="1"/>
      <c r="N96" s="1"/>
      <c r="R96" s="1"/>
      <c r="S96" s="1"/>
      <c r="T96" s="1"/>
      <c r="U96" s="1"/>
      <c r="V96" s="1"/>
      <c r="W96" s="1"/>
      <c r="X96" s="1"/>
      <c r="Y96" s="1"/>
      <c r="Z96" s="1"/>
      <c r="AA96" s="1"/>
      <c r="AB96" s="1"/>
    </row>
    <row r="97" spans="1:28" ht="21.75" customHeight="1">
      <c r="A97" s="264" t="str">
        <f>IF($D$13="English","load must be about","ungefähre Last")</f>
        <v>load must be about</v>
      </c>
      <c r="B97" s="220"/>
      <c r="C97" s="67" t="s">
        <v>26</v>
      </c>
      <c r="D97" s="126"/>
      <c r="E97" s="68"/>
      <c r="F97" s="67" t="s">
        <v>27</v>
      </c>
      <c r="G97" s="68"/>
      <c r="H97" s="265" t="s">
        <v>28</v>
      </c>
      <c r="I97" s="220"/>
      <c r="J97" s="67" t="s">
        <v>29</v>
      </c>
      <c r="K97" s="68"/>
      <c r="L97" s="69" t="s">
        <v>30</v>
      </c>
      <c r="M97" s="65"/>
      <c r="N97" s="65"/>
      <c r="O97" s="34"/>
      <c r="P97" s="308" t="str">
        <f>IF($J$18="M","L calc"," ")</f>
        <v xml:space="preserve"> </v>
      </c>
      <c r="Q97" s="220"/>
      <c r="R97" s="65"/>
      <c r="S97" s="65"/>
      <c r="T97" s="65"/>
      <c r="U97" s="65"/>
      <c r="V97" s="65"/>
      <c r="W97" s="65"/>
      <c r="X97" s="65"/>
      <c r="Y97" s="65"/>
      <c r="Z97" s="65"/>
      <c r="AA97" s="65"/>
      <c r="AB97" s="65"/>
    </row>
    <row r="98" spans="1:28" ht="12" customHeight="1">
      <c r="A98" s="231" t="s">
        <v>33</v>
      </c>
      <c r="B98" s="220"/>
      <c r="C98" s="18" t="s">
        <v>32</v>
      </c>
      <c r="D98" s="20" t="s">
        <v>79</v>
      </c>
      <c r="E98" s="21" t="s">
        <v>33</v>
      </c>
      <c r="F98" s="18" t="s">
        <v>33</v>
      </c>
      <c r="G98" s="70"/>
      <c r="H98" s="231" t="s">
        <v>33</v>
      </c>
      <c r="I98" s="220"/>
      <c r="J98" s="19" t="s">
        <v>33</v>
      </c>
      <c r="K98" s="21" t="s">
        <v>32</v>
      </c>
      <c r="L98" s="19" t="s">
        <v>34</v>
      </c>
      <c r="M98" s="1"/>
      <c r="N98" s="1"/>
      <c r="P98" s="308" t="str">
        <f>IF($J$18="M","[kg]"," ")</f>
        <v xml:space="preserve"> </v>
      </c>
      <c r="Q98" s="220"/>
      <c r="R98" s="1">
        <v>4</v>
      </c>
      <c r="S98" s="1"/>
      <c r="T98" s="1"/>
      <c r="U98" s="1"/>
      <c r="V98" s="1"/>
      <c r="W98" s="1"/>
      <c r="X98" s="1"/>
      <c r="Y98" s="1"/>
      <c r="Z98" s="1"/>
      <c r="AA98" s="1"/>
      <c r="AB98" s="1"/>
    </row>
    <row r="99" spans="1:28" ht="12" customHeight="1">
      <c r="A99" s="296">
        <f t="shared" ref="A99:A102" si="25">ROUND($D$9/($G$95-1),-0.01)</f>
        <v>0</v>
      </c>
      <c r="B99" s="220"/>
      <c r="C99" s="11" t="str">
        <f>IF($D$10=0," ",E99/$D$10)</f>
        <v xml:space="preserve"> </v>
      </c>
      <c r="D99" s="20">
        <v>1</v>
      </c>
      <c r="E99" s="184"/>
      <c r="F99" s="271"/>
      <c r="G99" s="216"/>
      <c r="H99" s="268" t="str">
        <f t="shared" ref="H99:H110" si="26">IF(F99=0," ",IF($J$18="M",(F99-P99),(F99-E99)))</f>
        <v xml:space="preserve"> </v>
      </c>
      <c r="I99" s="220"/>
      <c r="J99" s="90">
        <f t="shared" ref="J99:J110" si="27">PRODUCT($D$10,K99)</f>
        <v>0</v>
      </c>
      <c r="K99" s="26">
        <f t="shared" ref="K99:K110" si="28">IF(C99=" ",0,IF(C99&lt;=500,0.5,(IF(C99&lt;=2000,1,IF(C99&gt;2000,1.5," ")))))</f>
        <v>0</v>
      </c>
      <c r="L99" s="27" t="str">
        <f t="shared" ref="L99:L110" si="29">IF(F99=0," ",IF(ABS(H99)&lt;=J99,"Y","N"))</f>
        <v xml:space="preserve"> </v>
      </c>
      <c r="M99" s="1"/>
      <c r="P99" s="307" t="str">
        <f t="shared" ref="P99:P110" si="30">IF(E99=" "," ",IF($J$18="M",E99*(1-($K$21-$D$21)/$D$21)," "))</f>
        <v xml:space="preserve"> </v>
      </c>
      <c r="Q99" s="220"/>
      <c r="R99" s="1">
        <v>6</v>
      </c>
      <c r="S99" s="1"/>
      <c r="T99" s="1"/>
      <c r="U99" s="1"/>
      <c r="V99" s="1"/>
      <c r="W99" s="1"/>
      <c r="X99" s="1"/>
      <c r="Y99" s="1"/>
      <c r="Z99" s="1"/>
      <c r="AA99" s="1"/>
      <c r="AB99" s="1"/>
    </row>
    <row r="100" spans="1:28" ht="12" customHeight="1">
      <c r="A100" s="296">
        <f t="shared" si="25"/>
        <v>0</v>
      </c>
      <c r="B100" s="220"/>
      <c r="C100" s="11" t="str">
        <f t="shared" ref="C100:C102" si="31">IF($D$10=0," ",IF(E100=" ",0,E100/$D$10))</f>
        <v xml:space="preserve"> </v>
      </c>
      <c r="D100" s="20">
        <v>2</v>
      </c>
      <c r="E100" s="102" t="str">
        <f t="shared" ref="E100:E102" si="32">IF($G$95&gt;1,IF($E$99=0," ",$E$99)," ")</f>
        <v xml:space="preserve"> </v>
      </c>
      <c r="F100" s="271"/>
      <c r="G100" s="216"/>
      <c r="H100" s="268" t="str">
        <f t="shared" si="26"/>
        <v xml:space="preserve"> </v>
      </c>
      <c r="I100" s="220"/>
      <c r="J100" s="90">
        <f t="shared" si="27"/>
        <v>0</v>
      </c>
      <c r="K100" s="26">
        <f t="shared" si="28"/>
        <v>0</v>
      </c>
      <c r="L100" s="27" t="str">
        <f t="shared" si="29"/>
        <v xml:space="preserve"> </v>
      </c>
      <c r="N100" s="73" t="str">
        <f>IF(AND(L99="Y",L100="Y",L101="Y",L102="Y"),"Y","N")</f>
        <v>N</v>
      </c>
      <c r="P100" s="307" t="str">
        <f t="shared" si="30"/>
        <v xml:space="preserve"> </v>
      </c>
      <c r="Q100" s="220"/>
      <c r="R100" s="1">
        <v>8</v>
      </c>
      <c r="S100" s="1"/>
      <c r="T100" s="1"/>
      <c r="U100" s="1"/>
      <c r="V100" s="1"/>
      <c r="W100" s="1"/>
      <c r="X100" s="1"/>
      <c r="Y100" s="1"/>
      <c r="Z100" s="1"/>
      <c r="AA100" s="1"/>
      <c r="AB100" s="1"/>
    </row>
    <row r="101" spans="1:28" ht="12" customHeight="1">
      <c r="A101" s="296">
        <f t="shared" si="25"/>
        <v>0</v>
      </c>
      <c r="B101" s="220"/>
      <c r="C101" s="11" t="str">
        <f t="shared" si="31"/>
        <v xml:space="preserve"> </v>
      </c>
      <c r="D101" s="20">
        <v>3</v>
      </c>
      <c r="E101" s="102" t="str">
        <f t="shared" si="32"/>
        <v xml:space="preserve"> </v>
      </c>
      <c r="F101" s="271"/>
      <c r="G101" s="216"/>
      <c r="H101" s="268" t="str">
        <f t="shared" si="26"/>
        <v xml:space="preserve"> </v>
      </c>
      <c r="I101" s="220"/>
      <c r="J101" s="90">
        <f t="shared" si="27"/>
        <v>0</v>
      </c>
      <c r="K101" s="26">
        <f t="shared" si="28"/>
        <v>0</v>
      </c>
      <c r="L101" s="27" t="str">
        <f t="shared" si="29"/>
        <v xml:space="preserve"> </v>
      </c>
      <c r="N101" s="73" t="str">
        <f>IF(AND(L99="Y",L100="Y",L101="Y",L102="Y",L103="Y",L104="Y"),"Y","N")</f>
        <v>N</v>
      </c>
      <c r="P101" s="307" t="str">
        <f t="shared" si="30"/>
        <v xml:space="preserve"> </v>
      </c>
      <c r="Q101" s="220"/>
      <c r="R101" s="1">
        <v>10</v>
      </c>
      <c r="S101" s="1"/>
      <c r="T101" s="1"/>
      <c r="U101" s="1"/>
      <c r="V101" s="1"/>
      <c r="W101" s="1"/>
      <c r="X101" s="1"/>
      <c r="Y101" s="1"/>
      <c r="Z101" s="1"/>
      <c r="AA101" s="1"/>
      <c r="AB101" s="1"/>
    </row>
    <row r="102" spans="1:28" ht="12" customHeight="1">
      <c r="A102" s="296">
        <f t="shared" si="25"/>
        <v>0</v>
      </c>
      <c r="B102" s="220"/>
      <c r="C102" s="11" t="str">
        <f t="shared" si="31"/>
        <v xml:space="preserve"> </v>
      </c>
      <c r="D102" s="20">
        <v>4</v>
      </c>
      <c r="E102" s="102" t="str">
        <f t="shared" si="32"/>
        <v xml:space="preserve"> </v>
      </c>
      <c r="F102" s="271"/>
      <c r="G102" s="216"/>
      <c r="H102" s="268" t="str">
        <f t="shared" si="26"/>
        <v xml:space="preserve"> </v>
      </c>
      <c r="I102" s="220"/>
      <c r="J102" s="90">
        <f t="shared" si="27"/>
        <v>0</v>
      </c>
      <c r="K102" s="26">
        <f t="shared" si="28"/>
        <v>0</v>
      </c>
      <c r="L102" s="27" t="str">
        <f t="shared" si="29"/>
        <v xml:space="preserve"> </v>
      </c>
      <c r="N102" s="73" t="str">
        <f>IF(AND(L99="Y",L100="Y",L101="Y",L102="Y",L103="Y",L104="Y",L105="Y",L106="Y"),"Y","N")</f>
        <v>N</v>
      </c>
      <c r="P102" s="307" t="str">
        <f t="shared" si="30"/>
        <v xml:space="preserve"> </v>
      </c>
      <c r="Q102" s="220"/>
      <c r="R102" s="1">
        <v>12</v>
      </c>
      <c r="S102" s="1"/>
      <c r="T102" s="1"/>
      <c r="U102" s="1"/>
      <c r="V102" s="1"/>
      <c r="W102" s="1"/>
      <c r="X102" s="1"/>
      <c r="Y102" s="1"/>
      <c r="Z102" s="1"/>
      <c r="AA102" s="1"/>
      <c r="AB102" s="1"/>
    </row>
    <row r="103" spans="1:28" ht="12" customHeight="1">
      <c r="A103" s="296" t="str">
        <f>IF(G95=4," ",ROUND($D$9/($G$95-1),-0.01))</f>
        <v xml:space="preserve"> </v>
      </c>
      <c r="B103" s="220"/>
      <c r="C103" s="11" t="str">
        <f t="shared" ref="C103:C110" si="33">IF($D$10=0," ",IF(E103=" "," ",E103/$D$10))</f>
        <v xml:space="preserve"> </v>
      </c>
      <c r="D103" s="20">
        <v>5</v>
      </c>
      <c r="E103" s="102" t="str">
        <f t="shared" ref="E103:E104" si="34">IF($G$95&gt;4,IF($E$99=0," ",$E$99)," ")</f>
        <v xml:space="preserve"> </v>
      </c>
      <c r="F103" s="271"/>
      <c r="G103" s="216"/>
      <c r="H103" s="268" t="str">
        <f t="shared" si="26"/>
        <v xml:space="preserve"> </v>
      </c>
      <c r="I103" s="220"/>
      <c r="J103" s="90">
        <f t="shared" si="27"/>
        <v>0</v>
      </c>
      <c r="K103" s="26">
        <f t="shared" si="28"/>
        <v>0</v>
      </c>
      <c r="L103" s="27" t="str">
        <f t="shared" si="29"/>
        <v xml:space="preserve"> </v>
      </c>
      <c r="N103" s="73" t="str">
        <f>IF(AND(L99="Y",L100="Y",L101="Y",L102="Y",L103="Y",L104="Y",L105="Y",L106="Y",L107="Y",L108="Y"),"Y","N")</f>
        <v>N</v>
      </c>
      <c r="P103" s="307" t="str">
        <f t="shared" si="30"/>
        <v xml:space="preserve"> </v>
      </c>
      <c r="Q103" s="220"/>
      <c r="R103" s="1"/>
      <c r="S103" s="1"/>
      <c r="T103" s="1"/>
      <c r="U103" s="1"/>
      <c r="V103" s="1"/>
      <c r="W103" s="1"/>
      <c r="X103" s="1"/>
      <c r="Y103" s="1"/>
      <c r="Z103" s="1"/>
      <c r="AA103" s="1"/>
      <c r="AB103" s="1"/>
    </row>
    <row r="104" spans="1:28" ht="12" customHeight="1">
      <c r="A104" s="296" t="str">
        <f>IF(G95=4," ",ROUND($D$9/($G$95-1),-0.01))</f>
        <v xml:space="preserve"> </v>
      </c>
      <c r="B104" s="220"/>
      <c r="C104" s="11" t="str">
        <f t="shared" si="33"/>
        <v xml:space="preserve"> </v>
      </c>
      <c r="D104" s="20">
        <v>6</v>
      </c>
      <c r="E104" s="102" t="str">
        <f t="shared" si="34"/>
        <v xml:space="preserve"> </v>
      </c>
      <c r="F104" s="271"/>
      <c r="G104" s="216"/>
      <c r="H104" s="268" t="str">
        <f t="shared" si="26"/>
        <v xml:space="preserve"> </v>
      </c>
      <c r="I104" s="220"/>
      <c r="J104" s="90">
        <f t="shared" si="27"/>
        <v>0</v>
      </c>
      <c r="K104" s="26">
        <f t="shared" si="28"/>
        <v>0</v>
      </c>
      <c r="L104" s="27" t="str">
        <f t="shared" si="29"/>
        <v xml:space="preserve"> </v>
      </c>
      <c r="N104" s="73" t="str">
        <f>IF(AND(L99="Y",L100="Y",L101="Y",L102="Y",L103="Y",L104="Y",L105="Y",L106="Y",L107="Y",L108="Y",L109="Y",L110="Y"),"Y","N")</f>
        <v>N</v>
      </c>
      <c r="P104" s="307" t="str">
        <f t="shared" si="30"/>
        <v xml:space="preserve"> </v>
      </c>
      <c r="Q104" s="220"/>
      <c r="R104" s="1"/>
      <c r="S104" s="1"/>
      <c r="T104" s="1"/>
      <c r="U104" s="1"/>
      <c r="V104" s="1"/>
      <c r="W104" s="1"/>
      <c r="X104" s="1"/>
      <c r="Y104" s="1"/>
      <c r="Z104" s="1"/>
      <c r="AA104" s="1"/>
      <c r="AB104" s="1"/>
    </row>
    <row r="105" spans="1:28" ht="12" customHeight="1">
      <c r="A105" s="296" t="str">
        <f>IF(G95&lt;8," ",ROUND($D$9/($G$95-1),-0.01))</f>
        <v xml:space="preserve"> </v>
      </c>
      <c r="B105" s="220"/>
      <c r="C105" s="138" t="str">
        <f t="shared" si="33"/>
        <v xml:space="preserve"> </v>
      </c>
      <c r="D105" s="20">
        <v>7</v>
      </c>
      <c r="E105" s="102" t="str">
        <f t="shared" ref="E105:E106" si="35">IF($G$95&gt;6,IF($E$99=0," ",$E$99)," ")</f>
        <v xml:space="preserve"> </v>
      </c>
      <c r="F105" s="271"/>
      <c r="G105" s="216"/>
      <c r="H105" s="268" t="str">
        <f t="shared" si="26"/>
        <v xml:space="preserve"> </v>
      </c>
      <c r="I105" s="220"/>
      <c r="J105" s="139">
        <f t="shared" si="27"/>
        <v>0</v>
      </c>
      <c r="K105" s="26">
        <f t="shared" si="28"/>
        <v>0</v>
      </c>
      <c r="L105" s="27" t="str">
        <f t="shared" si="29"/>
        <v xml:space="preserve"> </v>
      </c>
      <c r="P105" s="307" t="str">
        <f t="shared" si="30"/>
        <v xml:space="preserve"> </v>
      </c>
      <c r="Q105" s="220"/>
      <c r="R105" s="1"/>
      <c r="S105" s="1"/>
      <c r="T105" s="1"/>
      <c r="U105" s="1"/>
      <c r="V105" s="1"/>
      <c r="W105" s="1"/>
      <c r="X105" s="1"/>
      <c r="Y105" s="1"/>
      <c r="Z105" s="1"/>
      <c r="AA105" s="1"/>
      <c r="AB105" s="1"/>
    </row>
    <row r="106" spans="1:28" ht="12" customHeight="1">
      <c r="A106" s="296" t="str">
        <f>IF(G95&lt;8," ",ROUND($D$9/($G$95-1),-0.01))</f>
        <v xml:space="preserve"> </v>
      </c>
      <c r="B106" s="220"/>
      <c r="C106" s="138" t="str">
        <f t="shared" si="33"/>
        <v xml:space="preserve"> </v>
      </c>
      <c r="D106" s="20">
        <v>8</v>
      </c>
      <c r="E106" s="102" t="str">
        <f t="shared" si="35"/>
        <v xml:space="preserve"> </v>
      </c>
      <c r="F106" s="271"/>
      <c r="G106" s="216"/>
      <c r="H106" s="268" t="str">
        <f t="shared" si="26"/>
        <v xml:space="preserve"> </v>
      </c>
      <c r="I106" s="220"/>
      <c r="J106" s="139">
        <f t="shared" si="27"/>
        <v>0</v>
      </c>
      <c r="K106" s="26">
        <f t="shared" si="28"/>
        <v>0</v>
      </c>
      <c r="L106" s="27" t="str">
        <f t="shared" si="29"/>
        <v xml:space="preserve"> </v>
      </c>
      <c r="P106" s="307" t="str">
        <f t="shared" si="30"/>
        <v xml:space="preserve"> </v>
      </c>
      <c r="Q106" s="220"/>
      <c r="R106" s="1"/>
      <c r="S106" s="1"/>
      <c r="T106" s="1"/>
      <c r="U106" s="1"/>
      <c r="V106" s="1"/>
      <c r="W106" s="1"/>
      <c r="X106" s="1"/>
      <c r="Y106" s="1"/>
      <c r="Z106" s="1"/>
      <c r="AA106" s="1"/>
      <c r="AB106" s="1"/>
    </row>
    <row r="107" spans="1:28" ht="12" customHeight="1">
      <c r="A107" s="296" t="str">
        <f>IF(G95&lt;10," ",ROUND($D$9/($G$95-1),-0.01))</f>
        <v xml:space="preserve"> </v>
      </c>
      <c r="B107" s="220"/>
      <c r="C107" s="138" t="str">
        <f t="shared" si="33"/>
        <v xml:space="preserve"> </v>
      </c>
      <c r="D107" s="20">
        <v>9</v>
      </c>
      <c r="E107" s="102" t="str">
        <f t="shared" ref="E107:E108" si="36">IF($G$95&gt;8,IF($E$99=0," ",$E$99)," ")</f>
        <v xml:space="preserve"> </v>
      </c>
      <c r="F107" s="271"/>
      <c r="G107" s="216"/>
      <c r="H107" s="268" t="str">
        <f t="shared" si="26"/>
        <v xml:space="preserve"> </v>
      </c>
      <c r="I107" s="220"/>
      <c r="J107" s="139">
        <f t="shared" si="27"/>
        <v>0</v>
      </c>
      <c r="K107" s="26">
        <f t="shared" si="28"/>
        <v>0</v>
      </c>
      <c r="L107" s="27" t="str">
        <f t="shared" si="29"/>
        <v xml:space="preserve"> </v>
      </c>
      <c r="P107" s="307" t="str">
        <f t="shared" si="30"/>
        <v xml:space="preserve"> </v>
      </c>
      <c r="Q107" s="220"/>
      <c r="R107" s="1"/>
      <c r="S107" s="1"/>
      <c r="T107" s="1"/>
      <c r="U107" s="1"/>
      <c r="V107" s="1"/>
      <c r="W107" s="1"/>
      <c r="X107" s="1"/>
      <c r="Y107" s="1"/>
      <c r="Z107" s="1"/>
      <c r="AA107" s="1"/>
      <c r="AB107" s="1"/>
    </row>
    <row r="108" spans="1:28" ht="12" customHeight="1">
      <c r="A108" s="296" t="str">
        <f>IF(G95&lt;10," ",ROUND($D$9/($G$95-1),-0.01))</f>
        <v xml:space="preserve"> </v>
      </c>
      <c r="B108" s="220"/>
      <c r="C108" s="138" t="str">
        <f t="shared" si="33"/>
        <v xml:space="preserve"> </v>
      </c>
      <c r="D108" s="20">
        <v>10</v>
      </c>
      <c r="E108" s="102" t="str">
        <f t="shared" si="36"/>
        <v xml:space="preserve"> </v>
      </c>
      <c r="F108" s="271"/>
      <c r="G108" s="216"/>
      <c r="H108" s="268" t="str">
        <f t="shared" si="26"/>
        <v xml:space="preserve"> </v>
      </c>
      <c r="I108" s="220"/>
      <c r="J108" s="139">
        <f t="shared" si="27"/>
        <v>0</v>
      </c>
      <c r="K108" s="26">
        <f t="shared" si="28"/>
        <v>0</v>
      </c>
      <c r="L108" s="27" t="str">
        <f t="shared" si="29"/>
        <v xml:space="preserve"> </v>
      </c>
      <c r="P108" s="307" t="str">
        <f t="shared" si="30"/>
        <v xml:space="preserve"> </v>
      </c>
      <c r="Q108" s="220"/>
      <c r="R108" s="1"/>
      <c r="S108" s="1"/>
      <c r="T108" s="1"/>
      <c r="U108" s="1"/>
      <c r="V108" s="1"/>
      <c r="W108" s="1"/>
      <c r="X108" s="1"/>
      <c r="Y108" s="1"/>
      <c r="Z108" s="1"/>
      <c r="AA108" s="1"/>
      <c r="AB108" s="1"/>
    </row>
    <row r="109" spans="1:28" ht="12" customHeight="1">
      <c r="A109" s="296" t="str">
        <f>IF(G95&lt;12," ",ROUND($D$9/($G$95-1),-0.01))</f>
        <v xml:space="preserve"> </v>
      </c>
      <c r="B109" s="220"/>
      <c r="C109" s="138" t="str">
        <f t="shared" si="33"/>
        <v xml:space="preserve"> </v>
      </c>
      <c r="D109" s="20">
        <v>11</v>
      </c>
      <c r="E109" s="102" t="str">
        <f t="shared" ref="E109:E110" si="37">IF($G$95&gt;10,IF($E$99=0," ",$E$99)," ")</f>
        <v xml:space="preserve"> </v>
      </c>
      <c r="F109" s="271"/>
      <c r="G109" s="216"/>
      <c r="H109" s="268" t="str">
        <f t="shared" si="26"/>
        <v xml:space="preserve"> </v>
      </c>
      <c r="I109" s="220"/>
      <c r="J109" s="139">
        <f t="shared" si="27"/>
        <v>0</v>
      </c>
      <c r="K109" s="26">
        <f t="shared" si="28"/>
        <v>0</v>
      </c>
      <c r="L109" s="27" t="str">
        <f t="shared" si="29"/>
        <v xml:space="preserve"> </v>
      </c>
      <c r="P109" s="307" t="str">
        <f t="shared" si="30"/>
        <v xml:space="preserve"> </v>
      </c>
      <c r="Q109" s="220"/>
      <c r="R109" s="1"/>
      <c r="S109" s="1"/>
      <c r="T109" s="1"/>
      <c r="U109" s="1"/>
      <c r="V109" s="1"/>
      <c r="W109" s="1"/>
      <c r="X109" s="1"/>
      <c r="Y109" s="1"/>
      <c r="Z109" s="1"/>
      <c r="AA109" s="1"/>
      <c r="AB109" s="1"/>
    </row>
    <row r="110" spans="1:28" ht="12" customHeight="1">
      <c r="A110" s="296" t="str">
        <f>IF(G95&lt;12," ",ROUND($D$9/($G$95-1),-0.01))</f>
        <v xml:space="preserve"> </v>
      </c>
      <c r="B110" s="220"/>
      <c r="C110" s="138" t="str">
        <f t="shared" si="33"/>
        <v xml:space="preserve"> </v>
      </c>
      <c r="D110" s="20">
        <v>12</v>
      </c>
      <c r="E110" s="102" t="str">
        <f t="shared" si="37"/>
        <v xml:space="preserve"> </v>
      </c>
      <c r="F110" s="271"/>
      <c r="G110" s="216"/>
      <c r="H110" s="268" t="str">
        <f t="shared" si="26"/>
        <v xml:space="preserve"> </v>
      </c>
      <c r="I110" s="220"/>
      <c r="J110" s="139">
        <f t="shared" si="27"/>
        <v>0</v>
      </c>
      <c r="K110" s="26">
        <f t="shared" si="28"/>
        <v>0</v>
      </c>
      <c r="L110" s="27" t="str">
        <f t="shared" si="29"/>
        <v xml:space="preserve"> </v>
      </c>
      <c r="P110" s="307" t="str">
        <f t="shared" si="30"/>
        <v xml:space="preserve"> </v>
      </c>
      <c r="Q110" s="220"/>
      <c r="R110" s="1"/>
      <c r="S110" s="1"/>
      <c r="T110" s="1"/>
      <c r="U110" s="1"/>
      <c r="V110" s="1"/>
      <c r="W110" s="1"/>
      <c r="X110" s="1"/>
      <c r="Y110" s="1"/>
      <c r="Z110" s="1"/>
      <c r="AA110" s="1"/>
      <c r="AB110" s="1"/>
    </row>
    <row r="111" spans="1:28" ht="12" customHeight="1">
      <c r="A111" s="1"/>
      <c r="B111" s="1"/>
      <c r="C111" s="1"/>
      <c r="D111" s="1"/>
      <c r="E111" s="1"/>
      <c r="F111" s="262"/>
      <c r="G111" s="237"/>
      <c r="H111" s="31"/>
      <c r="I111" s="1"/>
      <c r="J111" s="17"/>
      <c r="K111" s="6" t="str">
        <f>IF($D$13="English","Test passed?","Test bestanden?")</f>
        <v>Test passed?</v>
      </c>
      <c r="L111" s="27" t="str">
        <f>IF($G$95=4,$N$100,IF($G$95=6,$N$101,IF($G$95=8,$N$102,IF($G95=10,$N$103,IF($G95=12,$N$104,"N")))))</f>
        <v>N</v>
      </c>
      <c r="R111" s="1"/>
      <c r="S111" s="1"/>
      <c r="T111" s="1"/>
      <c r="U111" s="1"/>
      <c r="V111" s="1"/>
      <c r="W111" s="1"/>
      <c r="X111" s="1"/>
      <c r="Y111" s="1"/>
      <c r="Z111" s="1"/>
      <c r="AA111" s="1"/>
      <c r="AB111" s="1"/>
    </row>
    <row r="112" spans="1:28" ht="12" customHeight="1">
      <c r="A112" s="1"/>
      <c r="B112" s="1"/>
      <c r="C112" s="1"/>
      <c r="D112" s="1"/>
      <c r="E112" s="1"/>
      <c r="F112" s="43"/>
      <c r="G112" s="43"/>
      <c r="H112" s="31"/>
      <c r="I112" s="1"/>
      <c r="J112" s="17"/>
      <c r="K112" s="6"/>
      <c r="L112" s="17"/>
      <c r="R112" s="1"/>
      <c r="S112" s="1"/>
      <c r="T112" s="1"/>
      <c r="U112" s="1"/>
      <c r="V112" s="1"/>
      <c r="W112" s="1"/>
      <c r="X112" s="1"/>
      <c r="Y112" s="1"/>
      <c r="Z112" s="1"/>
      <c r="AA112" s="1"/>
      <c r="AB112" s="1"/>
    </row>
    <row r="113" spans="1:28" ht="12.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2.75" customHeight="1">
      <c r="A114" s="1"/>
      <c r="B114" s="23"/>
      <c r="C114" s="23"/>
      <c r="D114" s="23"/>
      <c r="E114" s="23"/>
      <c r="F114" s="23"/>
      <c r="G114" s="23"/>
      <c r="H114" s="23"/>
      <c r="I114" s="23"/>
      <c r="J114" s="23"/>
      <c r="K114" s="23"/>
      <c r="L114" s="23"/>
      <c r="M114" s="23"/>
      <c r="R114" s="1"/>
      <c r="S114" s="1"/>
      <c r="T114" s="1"/>
      <c r="U114" s="1"/>
      <c r="V114" s="1"/>
      <c r="W114" s="1"/>
      <c r="X114" s="1"/>
      <c r="Y114" s="1"/>
      <c r="Z114" s="1"/>
      <c r="AA114" s="1"/>
      <c r="AB114" s="1"/>
    </row>
    <row r="115" spans="1:28" ht="17.25" customHeight="1">
      <c r="A115" s="45" t="str">
        <f>IF($D$13="English","7.  Test with coasting load - Only for a weighbridge (0,5Max&lt;L&lt;0,8Max)","7. Test für rollende Lasten - nur für Brückenwaage (0,5Max&lt;L&lt;0,8Max)")</f>
        <v>7.  Test with coasting load - Only for a weighbridge (0,5Max&lt;L&lt;0,8Max)</v>
      </c>
      <c r="B115" s="46"/>
      <c r="C115" s="46"/>
      <c r="D115" s="41"/>
      <c r="E115" s="41"/>
      <c r="F115" s="41"/>
      <c r="G115" s="41"/>
      <c r="H115" s="41"/>
      <c r="I115" s="41"/>
      <c r="J115" s="41"/>
      <c r="K115" s="358">
        <f>$D$9*0.5</f>
        <v>0</v>
      </c>
      <c r="L115" s="223"/>
      <c r="M115" s="20" t="s">
        <v>11</v>
      </c>
      <c r="N115" s="20" t="s">
        <v>93</v>
      </c>
      <c r="O115" s="294">
        <f>$D$9*0.8</f>
        <v>0</v>
      </c>
      <c r="P115" s="223"/>
      <c r="Q115" s="21" t="s">
        <v>11</v>
      </c>
      <c r="R115" s="1"/>
      <c r="S115" s="1"/>
      <c r="T115" s="1"/>
      <c r="U115" s="1"/>
      <c r="V115" s="1"/>
      <c r="W115" s="1"/>
      <c r="X115" s="1"/>
      <c r="Y115" s="1"/>
      <c r="Z115" s="1"/>
      <c r="AA115" s="1"/>
      <c r="AB115" s="1"/>
    </row>
    <row r="116" spans="1:28" ht="13.5" customHeight="1">
      <c r="A116" s="45" t="str">
        <f>IF($D$13="English","(Hi-Res-Mode on)","(Hi-Res-Modus an)")</f>
        <v>(Hi-Res-Mode on)</v>
      </c>
      <c r="B116" s="46"/>
      <c r="C116" s="46"/>
      <c r="D116" s="1" t="str">
        <f>IF($D$13="English","accordance to EN45501-2015, A.4.7.4","gemäß EN45501-2015, A.4.7.4")</f>
        <v>accordance to EN45501-2015, A.4.7.4</v>
      </c>
      <c r="E116" s="41"/>
      <c r="F116" s="41"/>
      <c r="G116" s="41"/>
      <c r="H116" s="1"/>
      <c r="I116" s="41"/>
      <c r="J116" s="41"/>
      <c r="K116" s="104"/>
      <c r="L116" s="105"/>
      <c r="M116" s="30"/>
      <c r="N116" s="30"/>
      <c r="O116" s="104"/>
      <c r="P116" s="105"/>
      <c r="Q116" s="30"/>
      <c r="R116" s="1"/>
      <c r="S116" s="1"/>
      <c r="T116" s="1"/>
      <c r="U116" s="1"/>
      <c r="V116" s="1"/>
      <c r="W116" s="1"/>
      <c r="X116" s="1"/>
      <c r="Y116" s="1"/>
      <c r="Z116" s="1"/>
      <c r="AA116" s="1"/>
      <c r="AB116" s="1"/>
    </row>
    <row r="117" spans="1:28" ht="12.75" customHeight="1">
      <c r="A117" s="45"/>
      <c r="B117" s="106"/>
      <c r="C117" s="106"/>
      <c r="D117" s="107"/>
      <c r="E117" s="107"/>
      <c r="F117" s="107"/>
      <c r="G117" s="107"/>
      <c r="H117" s="41"/>
      <c r="I117" s="41"/>
      <c r="J117" s="41"/>
      <c r="K117" s="41"/>
      <c r="L117" s="30"/>
      <c r="M117" s="30"/>
      <c r="N117" s="42"/>
      <c r="O117" s="42"/>
      <c r="P117" s="28"/>
      <c r="Q117" s="28"/>
      <c r="R117" s="1"/>
      <c r="S117" s="1"/>
      <c r="T117" s="1"/>
      <c r="U117" s="1"/>
      <c r="V117" s="1"/>
      <c r="W117" s="1"/>
      <c r="X117" s="1"/>
      <c r="Y117" s="1"/>
      <c r="Z117" s="1"/>
      <c r="AA117" s="1"/>
      <c r="AB117" s="1"/>
    </row>
    <row r="118" spans="1:28" ht="12.75" customHeight="1">
      <c r="A118" s="108"/>
      <c r="B118" s="109">
        <v>1</v>
      </c>
      <c r="C118" s="46"/>
      <c r="D118" s="110"/>
      <c r="E118" s="41">
        <v>2</v>
      </c>
      <c r="F118" s="110"/>
      <c r="G118" s="111">
        <v>3</v>
      </c>
      <c r="H118" s="41"/>
      <c r="I118" s="41" t="s">
        <v>94</v>
      </c>
      <c r="J118" s="41"/>
      <c r="K118" s="177"/>
      <c r="L118" s="1" t="s">
        <v>95</v>
      </c>
      <c r="M118" s="30" t="s">
        <v>96</v>
      </c>
      <c r="N118" s="178"/>
      <c r="O118" s="42" t="s">
        <v>95</v>
      </c>
      <c r="P118" s="28"/>
      <c r="Q118" s="28"/>
      <c r="R118" s="1"/>
      <c r="S118" s="1"/>
      <c r="T118" s="1"/>
      <c r="U118" s="1"/>
      <c r="V118" s="1"/>
      <c r="W118" s="1"/>
      <c r="X118" s="1"/>
      <c r="Y118" s="1"/>
      <c r="Z118" s="1"/>
      <c r="AA118" s="1"/>
      <c r="AB118" s="1"/>
    </row>
    <row r="119" spans="1:28" ht="15" customHeight="1">
      <c r="A119" s="108"/>
      <c r="B119" s="46"/>
      <c r="C119" s="46"/>
      <c r="D119" s="41"/>
      <c r="E119" s="41"/>
      <c r="F119" s="41"/>
      <c r="G119" s="112"/>
      <c r="I119" s="41"/>
      <c r="J119" s="41"/>
      <c r="K119" s="41"/>
      <c r="L119" s="30"/>
      <c r="M119" s="30"/>
      <c r="N119" s="42"/>
      <c r="O119" s="42"/>
      <c r="P119" s="28"/>
      <c r="Q119" s="28"/>
      <c r="R119" s="1"/>
      <c r="S119" s="1"/>
      <c r="T119" s="1"/>
      <c r="U119" s="1"/>
      <c r="V119" s="1"/>
      <c r="W119" s="1"/>
      <c r="X119" s="1"/>
      <c r="Y119" s="1"/>
      <c r="Z119" s="1"/>
      <c r="AA119" s="1"/>
      <c r="AB119" s="1"/>
    </row>
    <row r="120" spans="1:28" ht="12.75" customHeight="1">
      <c r="A120" s="45"/>
      <c r="B120" s="113"/>
      <c r="C120" s="114"/>
      <c r="D120" s="115" t="str">
        <f>IF($D$13="English","B = Bridge length","B = Brückenlänge")</f>
        <v>B = Bridge length</v>
      </c>
      <c r="E120" s="41"/>
      <c r="F120" s="41"/>
      <c r="G120" s="116"/>
      <c r="I120" s="295" t="str">
        <f>IF($D$13="English","Distance from the middle position to the beginning or end shall be &gt;0,1B","Distanz von der mittleren Position zum Anfang oder Ende soll &gt;0,1B sein")</f>
        <v>Distance from the middle position to the beginning or end shall be &gt;0,1B</v>
      </c>
      <c r="J120" s="237"/>
      <c r="K120" s="237"/>
      <c r="L120" s="237"/>
      <c r="M120" s="237"/>
      <c r="N120" s="237"/>
      <c r="O120" s="237"/>
      <c r="P120" s="28"/>
      <c r="Q120" s="28"/>
      <c r="R120" s="1"/>
      <c r="S120" s="1"/>
      <c r="T120" s="1"/>
      <c r="U120" s="1"/>
      <c r="V120" s="1"/>
      <c r="W120" s="1"/>
      <c r="X120" s="1"/>
      <c r="Y120" s="1"/>
      <c r="Z120" s="1"/>
      <c r="AA120" s="1"/>
      <c r="AB120" s="1"/>
    </row>
    <row r="121" spans="1:28" ht="12.75" customHeight="1">
      <c r="A121" s="45"/>
      <c r="B121" s="46"/>
      <c r="C121" s="46"/>
      <c r="D121" s="41"/>
      <c r="E121" s="41"/>
      <c r="F121" s="41"/>
      <c r="G121" s="41"/>
      <c r="H121" s="41"/>
      <c r="I121" s="237"/>
      <c r="J121" s="237"/>
      <c r="K121" s="237"/>
      <c r="L121" s="237"/>
      <c r="M121" s="237"/>
      <c r="N121" s="237"/>
      <c r="O121" s="237"/>
      <c r="P121" s="28"/>
      <c r="Q121" s="28"/>
      <c r="R121" s="1"/>
      <c r="S121" s="1"/>
      <c r="T121" s="1"/>
      <c r="U121" s="1"/>
      <c r="V121" s="1"/>
      <c r="W121" s="1"/>
      <c r="X121" s="1"/>
      <c r="Y121" s="1"/>
      <c r="Z121" s="1"/>
      <c r="AA121" s="1"/>
      <c r="AB121" s="1"/>
    </row>
    <row r="122" spans="1:28" ht="13.5" customHeight="1">
      <c r="A122" s="45"/>
      <c r="B122" s="46"/>
      <c r="C122" s="46"/>
      <c r="D122" s="41"/>
      <c r="E122" s="41"/>
      <c r="F122" s="41"/>
      <c r="G122" s="41"/>
      <c r="H122" s="41"/>
      <c r="I122" s="41"/>
      <c r="J122" s="41"/>
      <c r="K122" s="41"/>
      <c r="L122" s="30"/>
      <c r="M122" s="30"/>
      <c r="N122" s="42"/>
      <c r="O122" s="42"/>
      <c r="P122" s="28"/>
      <c r="Q122" s="28"/>
      <c r="R122" s="1"/>
      <c r="S122" s="1"/>
      <c r="T122" s="1"/>
      <c r="U122" s="1"/>
      <c r="V122" s="1"/>
      <c r="W122" s="1"/>
      <c r="X122" s="1"/>
      <c r="Y122" s="1"/>
      <c r="Z122" s="1"/>
      <c r="AA122" s="1"/>
      <c r="AB122" s="1"/>
    </row>
    <row r="123" spans="1:28" ht="12.75" customHeight="1">
      <c r="A123" s="45"/>
      <c r="B123" s="46"/>
      <c r="C123" s="46"/>
      <c r="D123" s="41"/>
      <c r="E123" s="41"/>
      <c r="F123" s="41"/>
      <c r="G123" s="41"/>
      <c r="H123" s="41"/>
      <c r="I123" s="41"/>
      <c r="J123" s="41"/>
      <c r="K123" s="41"/>
      <c r="L123" s="30"/>
      <c r="M123" s="30"/>
      <c r="N123" s="42"/>
      <c r="O123" s="42"/>
      <c r="P123" s="28"/>
      <c r="Q123" s="28"/>
      <c r="R123" s="1"/>
      <c r="S123" s="1"/>
      <c r="T123" s="1"/>
      <c r="U123" s="1"/>
      <c r="V123" s="1"/>
      <c r="W123" s="1"/>
      <c r="X123" s="1"/>
      <c r="Y123" s="1"/>
      <c r="Z123" s="1"/>
      <c r="AA123" s="1"/>
      <c r="AB123" s="1"/>
    </row>
    <row r="124" spans="1:28" ht="12.75" customHeight="1">
      <c r="A124" s="45"/>
      <c r="B124" s="46"/>
      <c r="C124" s="46"/>
      <c r="D124" s="41"/>
      <c r="E124" s="41"/>
      <c r="F124" s="41"/>
      <c r="G124" s="41"/>
      <c r="H124" s="41"/>
      <c r="I124" s="41"/>
      <c r="J124" s="41"/>
      <c r="K124" s="41"/>
      <c r="L124" s="30"/>
      <c r="M124" s="30"/>
      <c r="N124" s="42"/>
      <c r="O124" s="42"/>
      <c r="P124" s="28"/>
      <c r="Q124" s="28"/>
      <c r="R124" s="1"/>
      <c r="S124" s="1"/>
      <c r="T124" s="1"/>
      <c r="U124" s="1"/>
      <c r="V124" s="1"/>
      <c r="W124" s="1"/>
      <c r="X124" s="1"/>
      <c r="Y124" s="1"/>
      <c r="Z124" s="1"/>
      <c r="AA124" s="1"/>
      <c r="AB124" s="1"/>
    </row>
    <row r="125" spans="1:28" ht="12" customHeight="1">
      <c r="A125" s="45"/>
      <c r="B125" s="117" t="str">
        <f>IF($D$13="English","Driving from left","von links auffahren")</f>
        <v>Driving from left</v>
      </c>
      <c r="C125" s="46"/>
      <c r="D125" s="41"/>
      <c r="E125" s="41"/>
      <c r="F125" s="41"/>
      <c r="G125" s="41"/>
      <c r="H125" s="41"/>
      <c r="I125" s="41"/>
      <c r="J125" s="41"/>
      <c r="K125" s="41"/>
      <c r="L125" s="30"/>
      <c r="M125" s="30"/>
      <c r="N125" s="42"/>
      <c r="O125" s="42"/>
      <c r="P125" s="28"/>
      <c r="Q125" s="28"/>
      <c r="R125" s="1"/>
      <c r="S125" s="1"/>
      <c r="T125" s="1"/>
      <c r="U125" s="1"/>
      <c r="V125" s="1"/>
      <c r="W125" s="1"/>
      <c r="X125" s="1"/>
      <c r="Y125" s="1"/>
      <c r="Z125" s="1"/>
      <c r="AA125" s="1"/>
      <c r="AB125" s="1"/>
    </row>
    <row r="126" spans="1:28" ht="12" customHeight="1">
      <c r="A126" s="45"/>
      <c r="B126" s="231" t="s">
        <v>26</v>
      </c>
      <c r="C126" s="223"/>
      <c r="D126" s="223"/>
      <c r="E126" s="220"/>
      <c r="F126" s="231" t="s">
        <v>27</v>
      </c>
      <c r="G126" s="220"/>
      <c r="H126" s="231" t="s">
        <v>97</v>
      </c>
      <c r="I126" s="220"/>
      <c r="J126" s="231" t="s">
        <v>29</v>
      </c>
      <c r="K126" s="220"/>
      <c r="L126" s="19" t="s">
        <v>30</v>
      </c>
      <c r="M126" s="308" t="str">
        <f>IF($J$18="M","L calc"," ")</f>
        <v xml:space="preserve"> </v>
      </c>
      <c r="N126" s="223"/>
      <c r="O126" s="220"/>
      <c r="P126" s="28"/>
      <c r="Q126" s="28"/>
      <c r="R126" s="1"/>
      <c r="S126" s="1"/>
      <c r="T126" s="1"/>
      <c r="U126" s="1"/>
      <c r="V126" s="1"/>
      <c r="W126" s="1"/>
      <c r="X126" s="1"/>
      <c r="Y126" s="1"/>
      <c r="Z126" s="1"/>
      <c r="AA126" s="1"/>
      <c r="AB126" s="1"/>
    </row>
    <row r="127" spans="1:28" ht="12" customHeight="1">
      <c r="A127" s="45"/>
      <c r="B127" s="18" t="s">
        <v>32</v>
      </c>
      <c r="C127" s="19" t="s">
        <v>79</v>
      </c>
      <c r="D127" s="231" t="s">
        <v>33</v>
      </c>
      <c r="E127" s="220"/>
      <c r="F127" s="231" t="s">
        <v>33</v>
      </c>
      <c r="G127" s="220"/>
      <c r="H127" s="231" t="s">
        <v>33</v>
      </c>
      <c r="I127" s="220"/>
      <c r="J127" s="19" t="s">
        <v>33</v>
      </c>
      <c r="K127" s="21" t="s">
        <v>32</v>
      </c>
      <c r="L127" s="19" t="s">
        <v>34</v>
      </c>
      <c r="M127" s="308" t="str">
        <f>IF($J$18="M","[kg]"," ")</f>
        <v xml:space="preserve"> </v>
      </c>
      <c r="N127" s="223"/>
      <c r="O127" s="220"/>
      <c r="P127" s="28"/>
      <c r="Q127" s="28"/>
      <c r="R127" s="1"/>
      <c r="S127" s="1"/>
      <c r="T127" s="1"/>
      <c r="U127" s="1"/>
      <c r="V127" s="1"/>
      <c r="W127" s="1"/>
      <c r="X127" s="1"/>
      <c r="Y127" s="1"/>
      <c r="Z127" s="1"/>
      <c r="AA127" s="1"/>
      <c r="AB127" s="1"/>
    </row>
    <row r="128" spans="1:28" ht="12" customHeight="1">
      <c r="A128" s="45"/>
      <c r="B128" s="11" t="str">
        <f t="shared" ref="B128:B130" si="38">IF($D$10=0," ",IF(D128=" ",0,D128/$D$10))</f>
        <v xml:space="preserve"> </v>
      </c>
      <c r="C128" s="24">
        <v>1</v>
      </c>
      <c r="D128" s="291" t="s">
        <v>76</v>
      </c>
      <c r="E128" s="216"/>
      <c r="F128" s="271"/>
      <c r="G128" s="216"/>
      <c r="H128" s="268" t="str">
        <f t="shared" ref="H128:H130" si="39">IF(F128=0," ",IF($J$18="M",(F128-M128),(F128-D128)))</f>
        <v xml:space="preserve"> </v>
      </c>
      <c r="I128" s="220"/>
      <c r="J128" s="98">
        <f t="shared" ref="J128:J130" si="40">K128*$D$10</f>
        <v>0</v>
      </c>
      <c r="K128" s="26">
        <f t="shared" ref="K128:K130" si="41">IF(B128=0,0,IF(B128&lt;=500,0.5,(IF(B128&lt;=2000,1,IF(B128&gt;2000,1.5," ")))))</f>
        <v>1.5</v>
      </c>
      <c r="L128" s="118" t="str">
        <f t="shared" ref="L128:L130" si="42">IF(H128&lt;=J128,"Y","N")</f>
        <v>N</v>
      </c>
      <c r="M128" s="307" t="str">
        <f t="shared" ref="M128:M130" si="43">IF(D128=" "," ",IF($J$18="M",D128*(1-($K$21-$D$21)/$D$21)," "))</f>
        <v xml:space="preserve"> </v>
      </c>
      <c r="N128" s="223"/>
      <c r="O128" s="220"/>
      <c r="P128" s="28"/>
      <c r="Q128" s="28"/>
      <c r="R128" s="1"/>
      <c r="S128" s="1"/>
      <c r="T128" s="1"/>
      <c r="U128" s="1"/>
      <c r="V128" s="1"/>
      <c r="W128" s="1"/>
      <c r="X128" s="1"/>
      <c r="Y128" s="1"/>
      <c r="Z128" s="1"/>
      <c r="AA128" s="1"/>
      <c r="AB128" s="1"/>
    </row>
    <row r="129" spans="1:28" ht="12" customHeight="1">
      <c r="A129" s="45"/>
      <c r="B129" s="11" t="str">
        <f t="shared" si="38"/>
        <v xml:space="preserve"> </v>
      </c>
      <c r="C129" s="24">
        <v>2</v>
      </c>
      <c r="D129" s="296" t="str">
        <f t="shared" ref="D129:D130" si="44">$D$128</f>
        <v xml:space="preserve"> </v>
      </c>
      <c r="E129" s="220"/>
      <c r="F129" s="271"/>
      <c r="G129" s="216"/>
      <c r="H129" s="268" t="str">
        <f t="shared" si="39"/>
        <v xml:space="preserve"> </v>
      </c>
      <c r="I129" s="220"/>
      <c r="J129" s="98">
        <f t="shared" si="40"/>
        <v>0</v>
      </c>
      <c r="K129" s="26">
        <f t="shared" si="41"/>
        <v>1.5</v>
      </c>
      <c r="L129" s="118" t="str">
        <f t="shared" si="42"/>
        <v>N</v>
      </c>
      <c r="M129" s="307" t="str">
        <f t="shared" si="43"/>
        <v xml:space="preserve"> </v>
      </c>
      <c r="N129" s="223"/>
      <c r="O129" s="220"/>
      <c r="P129" s="28"/>
      <c r="Q129" s="28"/>
      <c r="R129" s="1"/>
      <c r="S129" s="1"/>
      <c r="T129" s="1"/>
      <c r="U129" s="1"/>
      <c r="V129" s="1"/>
      <c r="W129" s="1"/>
      <c r="X129" s="1"/>
      <c r="Y129" s="1"/>
      <c r="Z129" s="1"/>
      <c r="AA129" s="1"/>
      <c r="AB129" s="1"/>
    </row>
    <row r="130" spans="1:28" ht="12" customHeight="1">
      <c r="A130" s="45"/>
      <c r="B130" s="11" t="str">
        <f t="shared" si="38"/>
        <v xml:space="preserve"> </v>
      </c>
      <c r="C130" s="24">
        <v>3</v>
      </c>
      <c r="D130" s="296" t="str">
        <f t="shared" si="44"/>
        <v xml:space="preserve"> </v>
      </c>
      <c r="E130" s="220"/>
      <c r="F130" s="271"/>
      <c r="G130" s="216"/>
      <c r="H130" s="268" t="str">
        <f t="shared" si="39"/>
        <v xml:space="preserve"> </v>
      </c>
      <c r="I130" s="220"/>
      <c r="J130" s="98">
        <f t="shared" si="40"/>
        <v>0</v>
      </c>
      <c r="K130" s="26">
        <f t="shared" si="41"/>
        <v>1.5</v>
      </c>
      <c r="L130" s="118" t="str">
        <f t="shared" si="42"/>
        <v>N</v>
      </c>
      <c r="M130" s="307" t="str">
        <f t="shared" si="43"/>
        <v xml:space="preserve"> </v>
      </c>
      <c r="N130" s="223"/>
      <c r="O130" s="220"/>
      <c r="P130" s="28"/>
      <c r="Q130" s="28"/>
      <c r="R130" s="1"/>
      <c r="S130" s="1"/>
      <c r="T130" s="1"/>
      <c r="U130" s="1"/>
      <c r="V130" s="1"/>
      <c r="W130" s="1"/>
      <c r="X130" s="1"/>
      <c r="Y130" s="1"/>
      <c r="Z130" s="1"/>
      <c r="AA130" s="1"/>
      <c r="AB130" s="1"/>
    </row>
    <row r="131" spans="1:28" ht="12" customHeight="1">
      <c r="A131" s="45"/>
      <c r="B131" s="7"/>
      <c r="C131" s="7"/>
      <c r="D131" s="1"/>
      <c r="E131" s="1"/>
      <c r="F131" s="1"/>
      <c r="G131" s="1"/>
      <c r="H131" s="1"/>
      <c r="I131" s="224" t="str">
        <f>IF($D$13="English","Test passed?","Test bestanden?")</f>
        <v>Test passed?</v>
      </c>
      <c r="J131" s="225"/>
      <c r="K131" s="226"/>
      <c r="L131" s="118" t="str">
        <f>IF(AND(L128="Y", L129="Y", L130="Y"),"Y","N")</f>
        <v>N</v>
      </c>
      <c r="M131" s="30"/>
      <c r="N131" s="42"/>
      <c r="O131" s="42"/>
      <c r="P131" s="28"/>
      <c r="Q131" s="28"/>
      <c r="R131" s="1"/>
      <c r="S131" s="1"/>
      <c r="T131" s="1"/>
      <c r="U131" s="1"/>
      <c r="V131" s="1"/>
      <c r="W131" s="1"/>
      <c r="X131" s="1"/>
      <c r="Y131" s="1"/>
      <c r="Z131" s="1"/>
      <c r="AA131" s="1"/>
      <c r="AB131" s="1"/>
    </row>
    <row r="132" spans="1:28" ht="12" customHeight="1">
      <c r="A132" s="45"/>
      <c r="B132" s="46"/>
      <c r="C132" s="46"/>
      <c r="D132" s="41"/>
      <c r="E132" s="41"/>
      <c r="F132" s="41"/>
      <c r="G132" s="41"/>
      <c r="H132" s="41"/>
      <c r="I132" s="41"/>
      <c r="J132" s="41"/>
      <c r="K132" s="41"/>
      <c r="L132" s="30"/>
      <c r="M132" s="30"/>
      <c r="N132" s="42"/>
      <c r="O132" s="42"/>
      <c r="P132" s="28"/>
      <c r="Q132" s="28"/>
      <c r="R132" s="1"/>
      <c r="S132" s="1"/>
      <c r="T132" s="1"/>
      <c r="U132" s="1"/>
      <c r="V132" s="1"/>
      <c r="W132" s="1"/>
      <c r="X132" s="1"/>
      <c r="Y132" s="1"/>
      <c r="Z132" s="1"/>
      <c r="AA132" s="1"/>
      <c r="AB132" s="1"/>
    </row>
    <row r="133" spans="1:28" ht="12" customHeight="1">
      <c r="A133" s="45"/>
      <c r="B133" s="46"/>
      <c r="C133" s="46"/>
      <c r="D133" s="41"/>
      <c r="E133" s="41"/>
      <c r="F133" s="41"/>
      <c r="G133" s="41"/>
      <c r="H133" s="41"/>
      <c r="I133" s="41"/>
      <c r="J133" s="41"/>
      <c r="K133" s="41"/>
      <c r="L133" s="30"/>
      <c r="M133" s="30"/>
      <c r="N133" s="42"/>
      <c r="O133" s="42"/>
      <c r="P133" s="28"/>
      <c r="Q133" s="28"/>
      <c r="R133" s="1"/>
      <c r="S133" s="1"/>
      <c r="T133" s="1"/>
      <c r="U133" s="1"/>
      <c r="V133" s="1"/>
      <c r="W133" s="1"/>
      <c r="X133" s="1"/>
      <c r="Y133" s="1"/>
      <c r="Z133" s="1"/>
      <c r="AA133" s="1"/>
      <c r="AB133" s="1"/>
    </row>
    <row r="134" spans="1:28" ht="12" customHeight="1">
      <c r="A134" s="45"/>
      <c r="B134" s="117" t="str">
        <f>IF($D$13="English","Driving from right","von rechts auffahren")</f>
        <v>Driving from right</v>
      </c>
      <c r="C134" s="46"/>
      <c r="D134" s="41"/>
      <c r="E134" s="41"/>
      <c r="F134" s="41"/>
      <c r="G134" s="41"/>
      <c r="H134" s="41"/>
      <c r="I134" s="41"/>
      <c r="J134" s="41"/>
      <c r="K134" s="41"/>
      <c r="L134" s="30"/>
      <c r="M134" s="30"/>
      <c r="Q134" s="1"/>
      <c r="R134" s="1"/>
      <c r="S134" s="1"/>
      <c r="T134" s="1"/>
      <c r="U134" s="1"/>
      <c r="V134" s="1"/>
      <c r="W134" s="1"/>
      <c r="X134" s="1"/>
      <c r="Y134" s="1"/>
      <c r="Z134" s="1"/>
      <c r="AA134" s="1"/>
      <c r="AB134" s="1"/>
    </row>
    <row r="135" spans="1:28" ht="12" customHeight="1">
      <c r="A135" s="45"/>
      <c r="B135" s="231" t="s">
        <v>26</v>
      </c>
      <c r="C135" s="223"/>
      <c r="D135" s="223"/>
      <c r="E135" s="220"/>
      <c r="F135" s="231" t="s">
        <v>27</v>
      </c>
      <c r="G135" s="220"/>
      <c r="H135" s="231" t="s">
        <v>97</v>
      </c>
      <c r="I135" s="220"/>
      <c r="J135" s="231" t="s">
        <v>29</v>
      </c>
      <c r="K135" s="220"/>
      <c r="L135" s="19" t="s">
        <v>30</v>
      </c>
      <c r="M135" s="308" t="str">
        <f>IF($J$18="M","L calc"," ")</f>
        <v xml:space="preserve"> </v>
      </c>
      <c r="N135" s="223"/>
      <c r="O135" s="220"/>
      <c r="P135" s="7"/>
      <c r="Q135" s="1"/>
      <c r="R135" s="1"/>
      <c r="S135" s="1"/>
      <c r="T135" s="1"/>
      <c r="U135" s="1"/>
      <c r="V135" s="1"/>
      <c r="W135" s="1"/>
      <c r="X135" s="1"/>
      <c r="Y135" s="1"/>
      <c r="Z135" s="1"/>
      <c r="AA135" s="1"/>
      <c r="AB135" s="1"/>
    </row>
    <row r="136" spans="1:28" ht="12" customHeight="1">
      <c r="A136" s="45"/>
      <c r="B136" s="18" t="s">
        <v>32</v>
      </c>
      <c r="C136" s="19" t="s">
        <v>79</v>
      </c>
      <c r="D136" s="231" t="s">
        <v>33</v>
      </c>
      <c r="E136" s="220"/>
      <c r="F136" s="231" t="s">
        <v>33</v>
      </c>
      <c r="G136" s="220"/>
      <c r="H136" s="231" t="s">
        <v>33</v>
      </c>
      <c r="I136" s="220"/>
      <c r="J136" s="19" t="s">
        <v>33</v>
      </c>
      <c r="K136" s="21" t="s">
        <v>32</v>
      </c>
      <c r="L136" s="19" t="s">
        <v>34</v>
      </c>
      <c r="M136" s="308" t="str">
        <f>IF($J$18="M","[kg]"," ")</f>
        <v xml:space="preserve"> </v>
      </c>
      <c r="N136" s="223"/>
      <c r="O136" s="220"/>
      <c r="P136" s="28"/>
      <c r="Q136" s="1"/>
      <c r="R136" s="1"/>
      <c r="S136" s="1"/>
      <c r="T136" s="1"/>
      <c r="U136" s="1"/>
      <c r="V136" s="1"/>
      <c r="W136" s="1"/>
      <c r="X136" s="1"/>
      <c r="Y136" s="1"/>
      <c r="Z136" s="1"/>
      <c r="AA136" s="1"/>
      <c r="AB136" s="1"/>
    </row>
    <row r="137" spans="1:28" ht="12" customHeight="1">
      <c r="A137" s="45"/>
      <c r="B137" s="11" t="str">
        <f t="shared" ref="B137:B139" si="45">IF($D$10=0," ",IF(D137=" ",0,D137/$D$10))</f>
        <v xml:space="preserve"> </v>
      </c>
      <c r="C137" s="24">
        <v>3</v>
      </c>
      <c r="D137" s="296" t="str">
        <f t="shared" ref="D137:D139" si="46">$D$128</f>
        <v xml:space="preserve"> </v>
      </c>
      <c r="E137" s="220"/>
      <c r="F137" s="271"/>
      <c r="G137" s="216"/>
      <c r="H137" s="268" t="str">
        <f t="shared" ref="H137:H139" si="47">IF(F137=0," ",IF($J$18="M",(F137-M137),(F137-D137)))</f>
        <v xml:space="preserve"> </v>
      </c>
      <c r="I137" s="220"/>
      <c r="J137" s="98">
        <f t="shared" ref="J137:J139" si="48">K137*$D$10</f>
        <v>0</v>
      </c>
      <c r="K137" s="26">
        <f t="shared" ref="K137:K139" si="49">IF(B137=0,0,IF(B137&lt;=500,0.5,(IF(B137&lt;=2000,1,IF(B137&gt;2000,1.5," ")))))</f>
        <v>1.5</v>
      </c>
      <c r="L137" s="118" t="str">
        <f t="shared" ref="L137:L139" si="50">IF(H137&lt;=J137,"Y","N")</f>
        <v>N</v>
      </c>
      <c r="M137" s="307" t="str">
        <f t="shared" ref="M137:M139" si="51">IF(D137=" "," ",IF($J$18="M",D137*(1-($K$21-$D$21)/$D$21)," "))</f>
        <v xml:space="preserve"> </v>
      </c>
      <c r="N137" s="223"/>
      <c r="O137" s="220"/>
      <c r="P137" s="28"/>
      <c r="Q137" s="1"/>
      <c r="R137" s="1"/>
      <c r="S137" s="1"/>
      <c r="T137" s="1"/>
      <c r="U137" s="1"/>
      <c r="V137" s="1"/>
      <c r="W137" s="1"/>
      <c r="X137" s="1"/>
      <c r="Y137" s="1"/>
      <c r="Z137" s="1"/>
      <c r="AA137" s="1"/>
      <c r="AB137" s="1"/>
    </row>
    <row r="138" spans="1:28" ht="12" customHeight="1">
      <c r="A138" s="45"/>
      <c r="B138" s="11" t="str">
        <f t="shared" si="45"/>
        <v xml:space="preserve"> </v>
      </c>
      <c r="C138" s="24">
        <v>2</v>
      </c>
      <c r="D138" s="296" t="str">
        <f t="shared" si="46"/>
        <v xml:space="preserve"> </v>
      </c>
      <c r="E138" s="220"/>
      <c r="F138" s="271"/>
      <c r="G138" s="216"/>
      <c r="H138" s="268" t="str">
        <f t="shared" si="47"/>
        <v xml:space="preserve"> </v>
      </c>
      <c r="I138" s="220"/>
      <c r="J138" s="98">
        <f t="shared" si="48"/>
        <v>0</v>
      </c>
      <c r="K138" s="26">
        <f t="shared" si="49"/>
        <v>1.5</v>
      </c>
      <c r="L138" s="118" t="str">
        <f t="shared" si="50"/>
        <v>N</v>
      </c>
      <c r="M138" s="307" t="str">
        <f t="shared" si="51"/>
        <v xml:space="preserve"> </v>
      </c>
      <c r="N138" s="223"/>
      <c r="O138" s="220"/>
      <c r="P138" s="28"/>
      <c r="Q138" s="1"/>
      <c r="R138" s="1"/>
      <c r="S138" s="1"/>
      <c r="T138" s="1"/>
      <c r="U138" s="1"/>
      <c r="V138" s="1"/>
      <c r="W138" s="1"/>
      <c r="X138" s="1"/>
      <c r="Y138" s="1"/>
      <c r="Z138" s="1"/>
      <c r="AA138" s="1"/>
      <c r="AB138" s="1"/>
    </row>
    <row r="139" spans="1:28" ht="12" customHeight="1">
      <c r="A139" s="45"/>
      <c r="B139" s="11" t="str">
        <f t="shared" si="45"/>
        <v xml:space="preserve"> </v>
      </c>
      <c r="C139" s="24">
        <v>1</v>
      </c>
      <c r="D139" s="296" t="str">
        <f t="shared" si="46"/>
        <v xml:space="preserve"> </v>
      </c>
      <c r="E139" s="220"/>
      <c r="F139" s="271"/>
      <c r="G139" s="216"/>
      <c r="H139" s="268" t="str">
        <f t="shared" si="47"/>
        <v xml:space="preserve"> </v>
      </c>
      <c r="I139" s="220"/>
      <c r="J139" s="98">
        <f t="shared" si="48"/>
        <v>0</v>
      </c>
      <c r="K139" s="26">
        <f t="shared" si="49"/>
        <v>1.5</v>
      </c>
      <c r="L139" s="118" t="str">
        <f t="shared" si="50"/>
        <v>N</v>
      </c>
      <c r="M139" s="307" t="str">
        <f t="shared" si="51"/>
        <v xml:space="preserve"> </v>
      </c>
      <c r="N139" s="223"/>
      <c r="O139" s="220"/>
      <c r="P139" s="1"/>
      <c r="Q139" s="1"/>
      <c r="R139" s="1"/>
      <c r="S139" s="1"/>
      <c r="T139" s="1"/>
      <c r="U139" s="1"/>
      <c r="V139" s="1"/>
      <c r="W139" s="1"/>
      <c r="X139" s="1"/>
      <c r="Y139" s="1"/>
      <c r="Z139" s="1"/>
      <c r="AA139" s="1"/>
      <c r="AB139" s="1"/>
    </row>
    <row r="140" spans="1:28" ht="12" customHeight="1">
      <c r="A140" s="7"/>
      <c r="B140" s="7"/>
      <c r="C140" s="7"/>
      <c r="D140" s="1"/>
      <c r="E140" s="1"/>
      <c r="F140" s="1"/>
      <c r="G140" s="1"/>
      <c r="H140" s="1"/>
      <c r="I140" s="224" t="str">
        <f>IF($D$13="English","Test passed?","Test bestanden?")</f>
        <v>Test passed?</v>
      </c>
      <c r="J140" s="225"/>
      <c r="K140" s="226"/>
      <c r="L140" s="118" t="str">
        <f>IF(AND(L137="Y", L138="Y", L139="Y"),"Y","N")</f>
        <v>N</v>
      </c>
      <c r="M140" s="6"/>
      <c r="N140" s="42"/>
      <c r="O140" s="42"/>
      <c r="P140" s="28"/>
      <c r="Q140" s="1"/>
      <c r="R140" s="1"/>
      <c r="S140" s="1"/>
      <c r="T140" s="1"/>
      <c r="U140" s="1"/>
      <c r="V140" s="1"/>
      <c r="W140" s="1"/>
      <c r="X140" s="1"/>
      <c r="Y140" s="1"/>
      <c r="Z140" s="1"/>
      <c r="AA140" s="1"/>
      <c r="AB140" s="1"/>
    </row>
    <row r="141" spans="1:28" ht="12"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2.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2.75" customHeight="1">
      <c r="A143" s="7" t="str">
        <f>IF($D$13="English","8.  Earth Gravity","8. Fallbeschleunigung")</f>
        <v>8.  Earth Gravity</v>
      </c>
      <c r="B143" s="46"/>
      <c r="C143" s="74"/>
      <c r="D143" s="74"/>
      <c r="E143" s="41"/>
      <c r="F143" s="41"/>
      <c r="G143" s="41"/>
      <c r="H143" s="75"/>
      <c r="I143" s="75"/>
      <c r="J143" s="41"/>
      <c r="K143" s="41"/>
      <c r="L143" s="73"/>
      <c r="M143" s="73"/>
      <c r="N143" s="42"/>
      <c r="O143" s="42"/>
      <c r="P143" s="28"/>
      <c r="Q143" s="1"/>
      <c r="R143" s="1"/>
      <c r="S143" s="1"/>
      <c r="T143" s="1"/>
      <c r="U143" s="1"/>
      <c r="V143" s="1"/>
      <c r="W143" s="1"/>
      <c r="X143" s="1"/>
      <c r="Y143" s="1"/>
      <c r="Z143" s="1"/>
      <c r="AA143" s="1"/>
      <c r="AB143" s="1"/>
    </row>
    <row r="144" spans="1:28" ht="12.75" customHeight="1">
      <c r="A144" s="7" t="str">
        <f>IF($D$13="English","Verification for: g=","Prüfung für: g=")</f>
        <v>Verification for: g=</v>
      </c>
      <c r="B144" s="46"/>
      <c r="C144" s="74"/>
      <c r="D144" s="260"/>
      <c r="E144" s="216"/>
      <c r="F144" s="41"/>
      <c r="G144" s="41"/>
      <c r="H144" s="176" t="s">
        <v>80</v>
      </c>
      <c r="I144" s="7" t="str">
        <f>IF($D$13="English","Not required","vernachlässigbar")</f>
        <v>Not required</v>
      </c>
      <c r="J144" s="41"/>
      <c r="K144" s="41"/>
      <c r="L144" s="73"/>
      <c r="M144" s="73"/>
      <c r="N144" s="1"/>
      <c r="O144" s="1"/>
      <c r="P144" s="1"/>
      <c r="Q144" s="1"/>
      <c r="R144" s="1"/>
      <c r="S144" s="1"/>
      <c r="T144" s="1"/>
      <c r="U144" s="1"/>
      <c r="V144" s="1"/>
      <c r="W144" s="1"/>
      <c r="X144" s="1"/>
      <c r="Y144" s="1"/>
      <c r="Z144" s="1"/>
      <c r="AA144" s="1"/>
      <c r="AB144" s="1"/>
    </row>
    <row r="145" spans="1:28" ht="12.75" customHeight="1">
      <c r="A145" s="45"/>
      <c r="B145" s="46"/>
      <c r="C145" s="74"/>
      <c r="D145" s="260"/>
      <c r="E145" s="216"/>
      <c r="F145" s="41"/>
      <c r="G145" s="41"/>
      <c r="H145" s="75"/>
      <c r="I145" s="75"/>
      <c r="J145" s="41"/>
      <c r="K145" s="41"/>
      <c r="L145" s="73"/>
      <c r="M145" s="73"/>
      <c r="N145" s="1"/>
      <c r="O145" s="1"/>
      <c r="P145" s="1"/>
      <c r="Q145" s="1"/>
      <c r="R145" s="1"/>
      <c r="S145" s="1"/>
      <c r="T145" s="1"/>
      <c r="U145" s="1"/>
      <c r="V145" s="1"/>
      <c r="W145" s="1"/>
      <c r="X145" s="1"/>
      <c r="Y145" s="1"/>
      <c r="Z145" s="1"/>
      <c r="AA145" s="1"/>
      <c r="AB145" s="1"/>
    </row>
    <row r="146" spans="1:28" ht="12.75" customHeight="1">
      <c r="A146" s="45"/>
      <c r="B146" s="46"/>
      <c r="C146" s="74"/>
      <c r="D146" s="46"/>
      <c r="E146" s="46"/>
      <c r="F146" s="41"/>
      <c r="G146" s="41"/>
      <c r="H146" s="75"/>
      <c r="I146" s="75"/>
      <c r="J146" s="41"/>
      <c r="K146" s="41"/>
      <c r="L146" s="73"/>
      <c r="M146" s="73"/>
      <c r="N146" s="1"/>
      <c r="O146" s="1"/>
      <c r="P146" s="1"/>
      <c r="Q146" s="1"/>
      <c r="R146" s="1"/>
      <c r="S146" s="1"/>
      <c r="T146" s="1"/>
      <c r="U146" s="1"/>
      <c r="V146" s="1"/>
      <c r="W146" s="1"/>
      <c r="X146" s="1"/>
      <c r="Y146" s="1"/>
      <c r="Z146" s="1"/>
      <c r="AA146" s="1"/>
      <c r="AB146" s="1"/>
    </row>
    <row r="147" spans="1:28" ht="12.75" customHeight="1">
      <c r="A147" s="76" t="str">
        <f>IF($D$13="English","place of installation:","Ort der Inbetriebnahme:")</f>
        <v>place of installation:</v>
      </c>
      <c r="B147" s="1"/>
      <c r="C147" s="1"/>
      <c r="D147" s="1"/>
      <c r="E147" s="253"/>
      <c r="F147" s="215"/>
      <c r="G147" s="215"/>
      <c r="H147" s="215"/>
      <c r="I147" s="215"/>
      <c r="J147" s="215"/>
      <c r="K147" s="215"/>
      <c r="L147" s="215"/>
      <c r="M147" s="215"/>
      <c r="N147" s="215"/>
      <c r="O147" s="215"/>
      <c r="P147" s="215"/>
      <c r="Q147" s="261"/>
      <c r="R147" s="1"/>
      <c r="S147" s="1"/>
      <c r="T147" s="1"/>
      <c r="U147" s="1"/>
      <c r="V147" s="1"/>
      <c r="W147" s="1"/>
      <c r="X147" s="1"/>
      <c r="Y147" s="1"/>
      <c r="Z147" s="1"/>
      <c r="AA147" s="1"/>
      <c r="AB147" s="1"/>
    </row>
    <row r="148" spans="1:28" ht="12.75" customHeight="1">
      <c r="A148" s="77"/>
      <c r="B148" s="1"/>
      <c r="C148" s="1"/>
      <c r="D148" s="1"/>
      <c r="E148" s="253"/>
      <c r="F148" s="215"/>
      <c r="G148" s="215"/>
      <c r="H148" s="215"/>
      <c r="I148" s="215"/>
      <c r="J148" s="215"/>
      <c r="K148" s="215"/>
      <c r="L148" s="215"/>
      <c r="M148" s="215"/>
      <c r="N148" s="215"/>
      <c r="O148" s="215"/>
      <c r="P148" s="215"/>
      <c r="Q148" s="261"/>
      <c r="R148" s="1"/>
      <c r="S148" s="1"/>
      <c r="T148" s="1"/>
      <c r="U148" s="1"/>
      <c r="V148" s="1"/>
      <c r="W148" s="1"/>
      <c r="X148" s="1"/>
      <c r="Y148" s="1"/>
      <c r="Z148" s="1"/>
      <c r="AA148" s="1"/>
      <c r="AB148" s="1"/>
    </row>
    <row r="149" spans="1:28" ht="12.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8" customHeight="1">
      <c r="A150" s="76" t="str">
        <f>IF($D$13="English","Calibration Counter C:","Kalibrierzähler C:")</f>
        <v>Calibration Counter C:</v>
      </c>
      <c r="B150" s="1"/>
      <c r="C150" s="1"/>
      <c r="D150" s="1"/>
      <c r="E150" s="253"/>
      <c r="F150" s="216"/>
      <c r="G150" s="17"/>
      <c r="H150" s="41"/>
      <c r="I150" s="41"/>
      <c r="J150" s="41"/>
      <c r="K150" s="41"/>
      <c r="L150" s="73"/>
      <c r="M150" s="73"/>
      <c r="N150" s="1"/>
      <c r="O150" s="1"/>
      <c r="P150" s="1"/>
      <c r="Q150" s="1"/>
      <c r="R150" s="1"/>
      <c r="S150" s="1"/>
      <c r="T150" s="1"/>
      <c r="U150" s="1"/>
      <c r="V150" s="1"/>
      <c r="W150" s="1"/>
      <c r="X150" s="1"/>
      <c r="Y150" s="1"/>
      <c r="Z150" s="1"/>
      <c r="AA150" s="1"/>
      <c r="AB150" s="1"/>
    </row>
    <row r="151" spans="1:28" ht="12.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2.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2.75" customHeight="1">
      <c r="A153" s="78"/>
      <c r="B153" s="78" t="str">
        <f>IF($D$13="English","Note:  If the scale  fails any test, it should not be used!","Anmerkung: Falls ein Test nicht bestanden ist, ist die Waage nicht eichfähig!")</f>
        <v>Note:  If the scale  fails any test, it should not be used!</v>
      </c>
      <c r="C153" s="74"/>
      <c r="D153" s="41"/>
      <c r="E153" s="41"/>
      <c r="F153" s="41"/>
      <c r="G153" s="17"/>
      <c r="H153" s="41"/>
      <c r="I153" s="41"/>
      <c r="J153" s="41"/>
      <c r="K153" s="41"/>
      <c r="L153" s="73"/>
      <c r="M153" s="73"/>
      <c r="N153" s="1"/>
      <c r="O153" s="1"/>
      <c r="P153" s="1"/>
      <c r="Q153" s="1"/>
      <c r="R153" s="1"/>
      <c r="S153" s="1"/>
      <c r="T153" s="1"/>
      <c r="U153" s="1"/>
      <c r="V153" s="1"/>
      <c r="W153" s="1"/>
      <c r="X153" s="1"/>
      <c r="Y153" s="1"/>
      <c r="Z153" s="1"/>
      <c r="AA153" s="1"/>
      <c r="AB153" s="1"/>
    </row>
    <row r="154" spans="1:28" ht="12"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2"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2"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2"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2"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2"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2"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2"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2"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2"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2"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2"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2"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2"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2"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2"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2"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2"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2"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2"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2"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2"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2"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2"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2"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2"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2"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2"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2"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2"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2"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2"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2"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2"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2"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2"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2"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2"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2"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2"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2"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2"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2"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2"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2"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2"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2"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2"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2"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2"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2"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2"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2"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2"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2"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2"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2"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2"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2"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2"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2"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2"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2"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2"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2"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2"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2"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2"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2"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2"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2"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2"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2"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2"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2"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2"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2"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2"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2"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2"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2"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2"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2"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2"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2"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2"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2"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2"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2"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2"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2"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2"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2"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2"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2"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2"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2"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2"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2"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2"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2"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2"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2"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2"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2"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2"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2"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2"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2"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2"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2"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2"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2"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2"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2"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2"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2"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2"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2"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2"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2"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2"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2"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2"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2"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2"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2"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2"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2"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2"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2"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2"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2"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2"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2"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2"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2"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2"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2"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2"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2"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2"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2"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2"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2"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2"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2"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2"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2"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2"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2"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2"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2"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2"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2"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2"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2"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2"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2"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2"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2"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2"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2"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2"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2"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2"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2"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2"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2"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2"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2"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2"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2"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2"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2"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2"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2"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2"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2"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2"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2"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2"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2"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2"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2"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2"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2"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2"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2"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2"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2"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2"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2"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2"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2"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2"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2"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2"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2"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2"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2"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2"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2"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2"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2"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2"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2"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2"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2"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2"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2"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2"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2"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2"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2"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2"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2"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2"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2"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2"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2"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2"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2"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2"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2"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2"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2"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2"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2"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2"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2"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2"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2"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2"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2"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2"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2"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2"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2"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2"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2"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2"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2"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2"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2"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2"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2"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2"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2"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2"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2"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2"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2"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2"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2"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2"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2"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2"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2"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2"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2"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2"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2"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2"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2"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2"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2"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2"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2"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2"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2"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2"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2"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2"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2"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2"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2"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2"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2"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2"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2"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2"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2"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2"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2"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2"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2"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2"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2"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2"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2"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2"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2"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2"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2"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2"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2"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2"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2"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2"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2"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2"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2"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2"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2"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2"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2"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2"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2"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2"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2"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2"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2"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2"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2"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2"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2"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2"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2"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2"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2"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2"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2"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2"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2"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2"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2"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2"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2"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2"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2"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2"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2"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2"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2"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2"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2"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2"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2"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2"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2"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2"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2"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2"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2"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2"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2"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2"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2"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2"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2"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2"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2"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2"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2"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2"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2"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2"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2"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2"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2"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2"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2"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2"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2"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2"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2"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2"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2"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2"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2"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2"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2"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2"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2"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2"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2"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2"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2"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2"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2"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2"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2"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2"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2"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2"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2"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2"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2"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2"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2"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2"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2"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2"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2"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2"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2"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2"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2"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2"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2"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2"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2"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2"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2"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2"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2"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2"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2"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2"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2"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2"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2"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2"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2"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2"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2"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2"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2"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2"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2"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2"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2"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2"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2"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2"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2"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2"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2"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2"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2"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2"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2"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2"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2"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2"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2"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2"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2"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2"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2"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2"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2"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2"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2"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2"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2"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2"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2"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2"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2"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2"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2"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2"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2"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2"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2"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2"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2"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2"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2"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2"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2"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2"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2"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2"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2"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2"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2"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2"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2"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2"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2"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2"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2"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2"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2"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2"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2"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2"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2"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2"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2"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2"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2"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2"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2"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2"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2"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2"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2"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2"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2"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2"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2"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2"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2"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2"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2"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2"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2"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2"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2"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2"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2"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2"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2"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2"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2"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2"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2"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2"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2"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2"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2"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2"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2"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2"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2"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2"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2"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2"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2"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2"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2"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2"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2"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2"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2"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2"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2"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2"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2"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2"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2"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2"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2"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2"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2"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2"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2"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2"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2"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2"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2"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2"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2"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2"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2"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2"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2"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2"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2"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2"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2"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2"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2"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2"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2"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2"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2"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2"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2"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2"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2"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2"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2"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2"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2"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2"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2"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2"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2"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2"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2"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2"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2"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2"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2"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2"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2"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2"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2"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2"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2"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2"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2"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2"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2"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2"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2"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2"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2"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2"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2"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2"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2"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2"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2"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2"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2"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2"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2"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2"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2"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2"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2"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2"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2"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2"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2"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2"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2"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2"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2"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2"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2"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2"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2"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2"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2"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2"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2"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2"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2"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2"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2"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2"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2"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2"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2"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2"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2"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2"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2"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2"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2"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2"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2"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2"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2"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2"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2"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2"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2"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2"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2"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2"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2"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2"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2"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2"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2"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2"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2"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2"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2"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2"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2"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2"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2"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2"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2"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2"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2"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2"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2"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2"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2"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2"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2"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2"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2"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2"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2"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2"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2"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2"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2"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2"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2"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2"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2"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2"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2"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2"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2"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2"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2"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2"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2"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2"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2"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2"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2"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2"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2"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2"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2"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2"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2"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2"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2"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2"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2"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2"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2"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2"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2"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2"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2"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2"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2"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2"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2"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2"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2"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2"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2"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2"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2"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2"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2"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2"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2"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2"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2"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2"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2"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2"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2"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2"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2"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2"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2"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2"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2"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2"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2"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2"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2"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2"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2"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2"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2"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2"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2"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2"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2"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2"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2"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2"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2"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2"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2"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2"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2"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2"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2"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2"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2"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2"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2"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2"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2"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2"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2"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2"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2"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2"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2"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2"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2"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2"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2"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2"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2"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2"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2"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2"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2"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2"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2"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2"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2"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2"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2"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2"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2"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2"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2"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2"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2"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2"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2"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2"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2"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2"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2"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2"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2"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2"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2"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2"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2"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2"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2"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2"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2"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2"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2"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2"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2"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2"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2"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2"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2"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2"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2"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2"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2"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2"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2"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2"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2"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2"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2"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2"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2"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2"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2"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2"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2"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2"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2"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2"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2"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2"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2"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2"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2"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2"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2"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2"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2"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2"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2"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sheetData>
  <sheetProtection algorithmName="SHA-512" hashValue="aoT+BFMTN805UsSChLcbhj5oGj0xAz0p7jw5rOHJgAnYMAW+gJ5eH9flC0BBqqmDe4oeHzg3xviKmWnPgtKFKQ==" saltValue="BJ3rEK0tzTOy4vkzvHv2Cw==" spinCount="100000" sheet="1" objects="1" scenarios="1"/>
  <mergeCells count="303">
    <mergeCell ref="O83:Q83"/>
    <mergeCell ref="O84:Q84"/>
    <mergeCell ref="O85:Q85"/>
    <mergeCell ref="J94:O95"/>
    <mergeCell ref="A97:B97"/>
    <mergeCell ref="P97:Q97"/>
    <mergeCell ref="P98:Q98"/>
    <mergeCell ref="H97:I97"/>
    <mergeCell ref="H98:I98"/>
    <mergeCell ref="F99:G99"/>
    <mergeCell ref="H99:I99"/>
    <mergeCell ref="F100:G100"/>
    <mergeCell ref="H100:I100"/>
    <mergeCell ref="H101:I101"/>
    <mergeCell ref="A105:B105"/>
    <mergeCell ref="A106:B106"/>
    <mergeCell ref="A107:B107"/>
    <mergeCell ref="A108:B108"/>
    <mergeCell ref="F101:G101"/>
    <mergeCell ref="H102:I102"/>
    <mergeCell ref="H103:I103"/>
    <mergeCell ref="H104:I104"/>
    <mergeCell ref="H105:I105"/>
    <mergeCell ref="H106:I106"/>
    <mergeCell ref="H107:I107"/>
    <mergeCell ref="H108:I108"/>
    <mergeCell ref="F102:G102"/>
    <mergeCell ref="F103:G103"/>
    <mergeCell ref="F104:G104"/>
    <mergeCell ref="F105:G105"/>
    <mergeCell ref="F106:G106"/>
    <mergeCell ref="F107:G107"/>
    <mergeCell ref="A109:B109"/>
    <mergeCell ref="A110:B110"/>
    <mergeCell ref="A98:B98"/>
    <mergeCell ref="A99:B99"/>
    <mergeCell ref="A100:B100"/>
    <mergeCell ref="A101:B101"/>
    <mergeCell ref="A102:B102"/>
    <mergeCell ref="A103:B103"/>
    <mergeCell ref="A104:B104"/>
    <mergeCell ref="P106:Q106"/>
    <mergeCell ref="P107:Q107"/>
    <mergeCell ref="P108:Q108"/>
    <mergeCell ref="P109:Q109"/>
    <mergeCell ref="P110:Q110"/>
    <mergeCell ref="P99:Q99"/>
    <mergeCell ref="P100:Q100"/>
    <mergeCell ref="P101:Q101"/>
    <mergeCell ref="P102:Q102"/>
    <mergeCell ref="P103:Q103"/>
    <mergeCell ref="P104:Q104"/>
    <mergeCell ref="P105:Q105"/>
    <mergeCell ref="F139:G139"/>
    <mergeCell ref="H139:I139"/>
    <mergeCell ref="I140:K140"/>
    <mergeCell ref="D144:E144"/>
    <mergeCell ref="D145:E145"/>
    <mergeCell ref="E147:Q147"/>
    <mergeCell ref="E148:Q148"/>
    <mergeCell ref="E150:F150"/>
    <mergeCell ref="D137:E137"/>
    <mergeCell ref="F137:G137"/>
    <mergeCell ref="H137:I137"/>
    <mergeCell ref="D138:E138"/>
    <mergeCell ref="F138:G138"/>
    <mergeCell ref="H138:I138"/>
    <mergeCell ref="D139:E139"/>
    <mergeCell ref="M138:O138"/>
    <mergeCell ref="M139:O139"/>
    <mergeCell ref="J126:K126"/>
    <mergeCell ref="M126:O126"/>
    <mergeCell ref="M127:O127"/>
    <mergeCell ref="M128:O128"/>
    <mergeCell ref="M129:O129"/>
    <mergeCell ref="M130:O130"/>
    <mergeCell ref="I131:K131"/>
    <mergeCell ref="F108:G108"/>
    <mergeCell ref="F109:G109"/>
    <mergeCell ref="F111:G111"/>
    <mergeCell ref="K115:L115"/>
    <mergeCell ref="O115:P115"/>
    <mergeCell ref="I120:O121"/>
    <mergeCell ref="H109:I109"/>
    <mergeCell ref="F110:G110"/>
    <mergeCell ref="H110:I110"/>
    <mergeCell ref="B126:E126"/>
    <mergeCell ref="F126:G126"/>
    <mergeCell ref="H126:I126"/>
    <mergeCell ref="D127:E127"/>
    <mergeCell ref="F127:G127"/>
    <mergeCell ref="H127:I127"/>
    <mergeCell ref="F128:G128"/>
    <mergeCell ref="H128:I128"/>
    <mergeCell ref="D128:E128"/>
    <mergeCell ref="D129:E129"/>
    <mergeCell ref="F129:G129"/>
    <mergeCell ref="H129:I129"/>
    <mergeCell ref="D130:E130"/>
    <mergeCell ref="F130:G130"/>
    <mergeCell ref="H130:I130"/>
    <mergeCell ref="M135:O135"/>
    <mergeCell ref="M136:O136"/>
    <mergeCell ref="M137:O137"/>
    <mergeCell ref="B135:E135"/>
    <mergeCell ref="F135:G135"/>
    <mergeCell ref="H135:I135"/>
    <mergeCell ref="J135:K135"/>
    <mergeCell ref="D136:E136"/>
    <mergeCell ref="F136:G136"/>
    <mergeCell ref="H136:I136"/>
    <mergeCell ref="L5:Q5"/>
    <mergeCell ref="D6:H6"/>
    <mergeCell ref="L6:Q6"/>
    <mergeCell ref="D9:E9"/>
    <mergeCell ref="D10:E10"/>
    <mergeCell ref="K20:Q20"/>
    <mergeCell ref="K21:L21"/>
    <mergeCell ref="N22:P22"/>
    <mergeCell ref="L7:Q7"/>
    <mergeCell ref="L9:Q9"/>
    <mergeCell ref="L10:Q10"/>
    <mergeCell ref="L12:Q13"/>
    <mergeCell ref="L14:Q15"/>
    <mergeCell ref="J16:K16"/>
    <mergeCell ref="P16:Q16"/>
    <mergeCell ref="E16:H16"/>
    <mergeCell ref="D20:G20"/>
    <mergeCell ref="D21:E21"/>
    <mergeCell ref="F22:G22"/>
    <mergeCell ref="L8:Q8"/>
    <mergeCell ref="P29:Q29"/>
    <mergeCell ref="B30:C30"/>
    <mergeCell ref="E30:F30"/>
    <mergeCell ref="G30:H30"/>
    <mergeCell ref="I30:J30"/>
    <mergeCell ref="N30:O30"/>
    <mergeCell ref="P30:Q30"/>
    <mergeCell ref="A29:C29"/>
    <mergeCell ref="D29:F29"/>
    <mergeCell ref="G29:H29"/>
    <mergeCell ref="A41:D41"/>
    <mergeCell ref="E41:G41"/>
    <mergeCell ref="A46:D46"/>
    <mergeCell ref="E46:G46"/>
    <mergeCell ref="H46:I46"/>
    <mergeCell ref="A47:D47"/>
    <mergeCell ref="I29:J29"/>
    <mergeCell ref="K29:L29"/>
    <mergeCell ref="N29:O29"/>
    <mergeCell ref="J35:L35"/>
    <mergeCell ref="L36:N36"/>
    <mergeCell ref="G34:H34"/>
    <mergeCell ref="I34:J34"/>
    <mergeCell ref="A39:D39"/>
    <mergeCell ref="E39:G39"/>
    <mergeCell ref="H39:I39"/>
    <mergeCell ref="A40:D40"/>
    <mergeCell ref="E40:G40"/>
    <mergeCell ref="N31:O31"/>
    <mergeCell ref="N32:O32"/>
    <mergeCell ref="N33:O33"/>
    <mergeCell ref="E47:G47"/>
    <mergeCell ref="I55:J55"/>
    <mergeCell ref="P54:Q54"/>
    <mergeCell ref="P55:Q55"/>
    <mergeCell ref="A53:C53"/>
    <mergeCell ref="B54:C54"/>
    <mergeCell ref="G54:H54"/>
    <mergeCell ref="I54:J54"/>
    <mergeCell ref="M54:N54"/>
    <mergeCell ref="B55:C55"/>
    <mergeCell ref="M55:N55"/>
    <mergeCell ref="D53:F53"/>
    <mergeCell ref="G53:H53"/>
    <mergeCell ref="I53:J53"/>
    <mergeCell ref="K53:L53"/>
    <mergeCell ref="M53:N53"/>
    <mergeCell ref="P53:Q53"/>
    <mergeCell ref="P33:Q33"/>
    <mergeCell ref="B31:C31"/>
    <mergeCell ref="E31:F31"/>
    <mergeCell ref="G31:H31"/>
    <mergeCell ref="I31:J31"/>
    <mergeCell ref="P31:Q31"/>
    <mergeCell ref="I32:J32"/>
    <mergeCell ref="P32:Q32"/>
    <mergeCell ref="B32:C32"/>
    <mergeCell ref="B33:C33"/>
    <mergeCell ref="E33:F33"/>
    <mergeCell ref="G33:H33"/>
    <mergeCell ref="I33:J33"/>
    <mergeCell ref="E32:F32"/>
    <mergeCell ref="G32:H32"/>
    <mergeCell ref="A48:D48"/>
    <mergeCell ref="E48:G48"/>
    <mergeCell ref="E57:F57"/>
    <mergeCell ref="E58:F58"/>
    <mergeCell ref="E62:F62"/>
    <mergeCell ref="G62:H62"/>
    <mergeCell ref="B63:C63"/>
    <mergeCell ref="E63:F63"/>
    <mergeCell ref="G63:H63"/>
    <mergeCell ref="E54:F54"/>
    <mergeCell ref="E55:F55"/>
    <mergeCell ref="E56:F56"/>
    <mergeCell ref="G56:H56"/>
    <mergeCell ref="B56:C56"/>
    <mergeCell ref="B57:C57"/>
    <mergeCell ref="B58:C58"/>
    <mergeCell ref="B59:C59"/>
    <mergeCell ref="E59:F59"/>
    <mergeCell ref="G55:H55"/>
    <mergeCell ref="A51:H52"/>
    <mergeCell ref="B61:C61"/>
    <mergeCell ref="E61:F61"/>
    <mergeCell ref="G61:H61"/>
    <mergeCell ref="G58:H58"/>
    <mergeCell ref="I61:J61"/>
    <mergeCell ref="B62:C62"/>
    <mergeCell ref="I62:J62"/>
    <mergeCell ref="E75:F75"/>
    <mergeCell ref="G75:H75"/>
    <mergeCell ref="E60:F60"/>
    <mergeCell ref="A76:C76"/>
    <mergeCell ref="E76:F76"/>
    <mergeCell ref="G76:H76"/>
    <mergeCell ref="K76:M76"/>
    <mergeCell ref="A77:C77"/>
    <mergeCell ref="K77:M77"/>
    <mergeCell ref="E77:F77"/>
    <mergeCell ref="G77:H77"/>
    <mergeCell ref="A78:C78"/>
    <mergeCell ref="E78:F78"/>
    <mergeCell ref="G78:H78"/>
    <mergeCell ref="K78:M78"/>
    <mergeCell ref="A79:C79"/>
    <mergeCell ref="K79:M79"/>
    <mergeCell ref="E79:F79"/>
    <mergeCell ref="G79:H79"/>
    <mergeCell ref="A80:C80"/>
    <mergeCell ref="E80:F80"/>
    <mergeCell ref="G80:H80"/>
    <mergeCell ref="K80:M80"/>
    <mergeCell ref="A81:C81"/>
    <mergeCell ref="K81:M81"/>
    <mergeCell ref="E81:F81"/>
    <mergeCell ref="G81:H81"/>
    <mergeCell ref="A82:C82"/>
    <mergeCell ref="E82:F82"/>
    <mergeCell ref="G82:H82"/>
    <mergeCell ref="K82:M82"/>
    <mergeCell ref="A83:C83"/>
    <mergeCell ref="K83:M83"/>
    <mergeCell ref="E85:F85"/>
    <mergeCell ref="G85:H85"/>
    <mergeCell ref="E83:F83"/>
    <mergeCell ref="G83:H83"/>
    <mergeCell ref="A84:C84"/>
    <mergeCell ref="E84:F84"/>
    <mergeCell ref="G84:H84"/>
    <mergeCell ref="K84:M84"/>
    <mergeCell ref="A85:C85"/>
    <mergeCell ref="K85:M85"/>
    <mergeCell ref="I58:J58"/>
    <mergeCell ref="P57:Q57"/>
    <mergeCell ref="P58:Q58"/>
    <mergeCell ref="P59:Q59"/>
    <mergeCell ref="P60:Q60"/>
    <mergeCell ref="G57:H57"/>
    <mergeCell ref="I57:J57"/>
    <mergeCell ref="M57:N57"/>
    <mergeCell ref="M58:N58"/>
    <mergeCell ref="G60:H60"/>
    <mergeCell ref="I60:J60"/>
    <mergeCell ref="G59:H59"/>
    <mergeCell ref="I59:J59"/>
    <mergeCell ref="M59:N59"/>
    <mergeCell ref="M60:N60"/>
    <mergeCell ref="O76:Q76"/>
    <mergeCell ref="O77:Q77"/>
    <mergeCell ref="O78:Q78"/>
    <mergeCell ref="O79:Q79"/>
    <mergeCell ref="O80:Q80"/>
    <mergeCell ref="O81:Q81"/>
    <mergeCell ref="O82:Q82"/>
    <mergeCell ref="I56:J56"/>
    <mergeCell ref="M56:N56"/>
    <mergeCell ref="P56:Q56"/>
    <mergeCell ref="O75:Q75"/>
    <mergeCell ref="M61:N61"/>
    <mergeCell ref="M62:N62"/>
    <mergeCell ref="M63:N63"/>
    <mergeCell ref="A66:P67"/>
    <mergeCell ref="A72:P73"/>
    <mergeCell ref="C74:D74"/>
    <mergeCell ref="K75:M75"/>
    <mergeCell ref="A75:C75"/>
    <mergeCell ref="P61:Q61"/>
    <mergeCell ref="P62:Q62"/>
    <mergeCell ref="P63:Q63"/>
    <mergeCell ref="I63:J63"/>
    <mergeCell ref="B60:C60"/>
  </mergeCells>
  <dataValidations count="5">
    <dataValidation type="list" allowBlank="1" showInputMessage="1" showErrorMessage="1" prompt="X or nothing" sqref="H144" xr:uid="{00000000-0002-0000-0600-000000000000}">
      <formula1>"X"</formula1>
    </dataValidation>
    <dataValidation type="list" allowBlank="1" showErrorMessage="1" sqref="D13:D15" xr:uid="{00000000-0002-0000-0600-000001000000}">
      <formula1>"English,Deutsch"</formula1>
    </dataValidation>
    <dataValidation type="list" allowBlank="1" showInputMessage="1" showErrorMessage="1" prompt="Y or N" sqref="N11 Q95" xr:uid="{00000000-0002-0000-0600-000002000000}">
      <formula1>"Y,N"</formula1>
    </dataValidation>
    <dataValidation type="list" allowBlank="1" showInputMessage="1" showErrorMessage="1" prompt="location - M for verification at manufacturer site_x000a_I for verification at installation site" sqref="J18" xr:uid="{00000000-0002-0000-0600-000003000000}">
      <formula1>$R$17:$R$18</formula1>
    </dataValidation>
    <dataValidation type="list" allowBlank="1" showErrorMessage="1" sqref="G95" xr:uid="{00000000-0002-0000-0600-000004000000}">
      <formula1>$R$98:$R$102</formula1>
    </dataValidation>
  </dataValidations>
  <pageMargins left="0.70866141732283472" right="0.70866141732283472" top="0.78740157480314965" bottom="0.78740157480314965" header="0" footer="0"/>
  <pageSetup paperSize="9" scale="94" orientation="portrait" r:id="rId1"/>
  <headerFooter>
    <oddFooter>&amp;L&amp;F&amp;CPage &amp;P / &amp;R&amp;D</oddFooter>
  </headerFooter>
  <rowBreaks count="2" manualBreakCount="2">
    <brk id="64" max="16383" man="1"/>
    <brk id="111"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Z1000"/>
  <sheetViews>
    <sheetView view="pageBreakPreview" zoomScale="112" zoomScaleNormal="100" zoomScaleSheetLayoutView="112" workbookViewId="0">
      <selection activeCell="P21" sqref="P21"/>
    </sheetView>
  </sheetViews>
  <sheetFormatPr defaultColWidth="12.5703125" defaultRowHeight="15" customHeight="1"/>
  <cols>
    <col min="1" max="1" width="5.28515625" customWidth="1"/>
    <col min="2" max="2" width="6.28515625" customWidth="1"/>
    <col min="3" max="4" width="5.85546875" customWidth="1"/>
    <col min="5" max="5" width="8.85546875" customWidth="1"/>
    <col min="6" max="6" width="5.7109375" customWidth="1"/>
    <col min="7" max="7" width="6.28515625" customWidth="1"/>
    <col min="8" max="8" width="6.5703125" customWidth="1"/>
    <col min="9" max="9" width="5.7109375" customWidth="1"/>
    <col min="10" max="10" width="6.85546875" customWidth="1"/>
    <col min="11" max="11" width="5.85546875" customWidth="1"/>
    <col min="12" max="12" width="4.42578125" customWidth="1"/>
    <col min="13" max="14" width="3.85546875" customWidth="1"/>
    <col min="15" max="15" width="4" customWidth="1"/>
    <col min="16" max="17" width="3.7109375" customWidth="1"/>
    <col min="18" max="26" width="9.140625" customWidth="1"/>
  </cols>
  <sheetData>
    <row r="1" spans="1:26" s="199" customFormat="1" ht="18.75" customHeight="1">
      <c r="A1" s="206"/>
      <c r="B1" s="206"/>
      <c r="C1" s="206"/>
      <c r="D1" s="206"/>
      <c r="E1" s="206"/>
      <c r="F1" s="206"/>
      <c r="G1" s="198"/>
      <c r="H1" s="198"/>
      <c r="I1" s="198"/>
      <c r="J1" s="198"/>
      <c r="K1" s="198"/>
      <c r="L1" s="198"/>
      <c r="M1" s="198"/>
      <c r="N1" s="198"/>
      <c r="O1" s="198"/>
      <c r="P1" s="198"/>
      <c r="Q1" s="191" t="str">
        <f>IF($D$13="English","Test Report - Hanging scale &lt; 1 t","Test Report - Hängewaage &lt; 1 t")</f>
        <v>Test Report - Hanging scale &lt; 1 t</v>
      </c>
      <c r="R1" s="198"/>
      <c r="S1" s="198"/>
      <c r="T1" s="198"/>
      <c r="U1" s="198"/>
      <c r="V1" s="198"/>
      <c r="W1" s="198"/>
      <c r="X1" s="198"/>
      <c r="Y1" s="198"/>
      <c r="Z1" s="198"/>
    </row>
    <row r="2" spans="1:26" ht="12" customHeight="1">
      <c r="A2" s="206"/>
      <c r="B2" s="206"/>
      <c r="C2" s="206"/>
      <c r="D2" s="206"/>
      <c r="E2" s="206"/>
      <c r="F2" s="206"/>
      <c r="G2" s="1"/>
      <c r="H2" s="1"/>
      <c r="I2" s="1"/>
      <c r="J2" s="1"/>
      <c r="K2" s="1"/>
      <c r="L2" s="1"/>
      <c r="M2" s="1"/>
      <c r="N2" s="1"/>
      <c r="O2" s="1"/>
      <c r="P2" s="1"/>
      <c r="Q2" s="4"/>
      <c r="R2" s="1"/>
      <c r="S2" s="1"/>
      <c r="T2" s="1"/>
      <c r="U2" s="1"/>
      <c r="V2" s="1"/>
      <c r="W2" s="1"/>
      <c r="X2" s="1"/>
      <c r="Y2" s="1"/>
      <c r="Z2" s="1"/>
    </row>
    <row r="3" spans="1:26" ht="12" customHeight="1">
      <c r="A3" s="207"/>
      <c r="B3" s="207"/>
      <c r="C3" s="207"/>
      <c r="D3" s="207"/>
      <c r="E3" s="207"/>
      <c r="F3" s="207"/>
      <c r="G3" s="1"/>
      <c r="H3" s="1"/>
      <c r="I3" s="1"/>
      <c r="J3" s="1" t="str">
        <f>IF($D$13="English","Accuracy Class","Genauigkeitsklasse")</f>
        <v>Accuracy Class</v>
      </c>
      <c r="K3" s="1"/>
      <c r="L3" s="1"/>
      <c r="M3" s="1" t="s">
        <v>4</v>
      </c>
      <c r="N3" s="1"/>
      <c r="O3" s="4"/>
      <c r="P3" s="5"/>
      <c r="Q3" s="4"/>
      <c r="R3" s="1"/>
      <c r="S3" s="1"/>
      <c r="T3" s="1"/>
      <c r="U3" s="1"/>
      <c r="V3" s="1"/>
      <c r="W3" s="1"/>
      <c r="X3" s="1"/>
      <c r="Y3" s="1"/>
      <c r="Z3" s="1"/>
    </row>
    <row r="4" spans="1:26" ht="12" customHeight="1">
      <c r="A4" s="209"/>
      <c r="B4" s="209"/>
      <c r="C4" s="209"/>
      <c r="D4" s="208"/>
      <c r="E4" s="208"/>
      <c r="F4" s="208"/>
      <c r="G4" s="1"/>
      <c r="H4" s="1"/>
      <c r="I4" s="1"/>
      <c r="J4" s="1"/>
      <c r="K4" s="1"/>
      <c r="L4" s="1"/>
      <c r="M4" s="1"/>
      <c r="N4" s="1"/>
      <c r="O4" s="1"/>
      <c r="P4" s="6"/>
      <c r="Q4" s="1"/>
      <c r="R4" s="1"/>
      <c r="S4" s="1"/>
      <c r="T4" s="1"/>
      <c r="U4" s="1"/>
      <c r="V4" s="1"/>
      <c r="W4" s="1"/>
      <c r="X4" s="1"/>
      <c r="Y4" s="1"/>
      <c r="Z4" s="1"/>
    </row>
    <row r="5" spans="1:26" ht="12" customHeight="1">
      <c r="A5" s="5"/>
      <c r="B5" s="1"/>
      <c r="C5" s="1"/>
      <c r="D5" s="1"/>
      <c r="E5" s="1"/>
      <c r="F5" s="1"/>
      <c r="G5" s="1"/>
      <c r="H5" s="1"/>
      <c r="I5" s="1"/>
      <c r="J5" s="1"/>
      <c r="K5" s="9" t="str">
        <f>IF($D$13="English","Test Date:","Testdatum")</f>
        <v>Test Date:</v>
      </c>
      <c r="L5" s="243"/>
      <c r="M5" s="215"/>
      <c r="N5" s="215"/>
      <c r="O5" s="215"/>
      <c r="P5" s="215"/>
      <c r="Q5" s="216"/>
      <c r="R5" s="1"/>
      <c r="S5" s="1"/>
      <c r="T5" s="1"/>
      <c r="U5" s="1"/>
      <c r="V5" s="1"/>
      <c r="W5" s="1"/>
      <c r="X5" s="1"/>
      <c r="Y5" s="1"/>
      <c r="Z5" s="1"/>
    </row>
    <row r="6" spans="1:26" ht="12" customHeight="1">
      <c r="A6" s="1"/>
      <c r="B6" s="1"/>
      <c r="C6" s="9" t="str">
        <f>IF($D$13="English","Part No.:","Modell Nr.")</f>
        <v>Part No.:</v>
      </c>
      <c r="D6" s="275"/>
      <c r="E6" s="215"/>
      <c r="F6" s="215"/>
      <c r="G6" s="215"/>
      <c r="H6" s="216"/>
      <c r="I6" s="1"/>
      <c r="J6" s="1"/>
      <c r="K6" s="9" t="str">
        <f>IF($D$13="English","Test Officer:","RVO")</f>
        <v>Test Officer:</v>
      </c>
      <c r="L6" s="214"/>
      <c r="M6" s="215"/>
      <c r="N6" s="215"/>
      <c r="O6" s="215"/>
      <c r="P6" s="215"/>
      <c r="Q6" s="216"/>
      <c r="R6" s="1"/>
      <c r="S6" s="1"/>
      <c r="T6" s="1"/>
      <c r="U6" s="1"/>
      <c r="V6" s="1"/>
      <c r="W6" s="1"/>
      <c r="X6" s="1"/>
      <c r="Y6" s="1"/>
      <c r="Z6" s="1"/>
    </row>
    <row r="7" spans="1:26" ht="12" customHeight="1">
      <c r="A7" s="1"/>
      <c r="B7" s="1"/>
      <c r="G7" s="1"/>
      <c r="H7" s="1"/>
      <c r="I7" s="1"/>
      <c r="J7" s="1"/>
      <c r="K7" s="9" t="str">
        <f>IF($D$13="English","Scale No.","Waagen S/N.")</f>
        <v>Scale No.</v>
      </c>
      <c r="L7" s="214"/>
      <c r="M7" s="215"/>
      <c r="N7" s="215"/>
      <c r="O7" s="215"/>
      <c r="P7" s="215"/>
      <c r="Q7" s="216"/>
      <c r="R7" s="1"/>
      <c r="S7" s="1"/>
      <c r="T7" s="1"/>
      <c r="U7" s="1"/>
      <c r="V7" s="1"/>
      <c r="W7" s="1"/>
      <c r="X7" s="1"/>
      <c r="Y7" s="1"/>
      <c r="Z7" s="1"/>
    </row>
    <row r="8" spans="1:26" ht="12" customHeight="1">
      <c r="A8" s="1"/>
      <c r="B8" s="1"/>
      <c r="G8" s="1"/>
      <c r="H8" s="1"/>
      <c r="I8" s="1"/>
      <c r="J8" s="1"/>
      <c r="K8" s="9" t="str">
        <f>IF($D$13="English","Indicator S/N.","Waagen S/N.")</f>
        <v>Indicator S/N.</v>
      </c>
      <c r="L8" s="214"/>
      <c r="M8" s="215"/>
      <c r="N8" s="215"/>
      <c r="O8" s="215"/>
      <c r="P8" s="215"/>
      <c r="Q8" s="216"/>
      <c r="R8" s="1"/>
      <c r="S8" s="1"/>
      <c r="T8" s="1"/>
      <c r="U8" s="1"/>
      <c r="V8" s="1"/>
      <c r="W8" s="1"/>
      <c r="X8" s="1"/>
      <c r="Y8" s="1"/>
      <c r="Z8" s="1"/>
    </row>
    <row r="9" spans="1:26" ht="12" customHeight="1">
      <c r="A9" s="1"/>
      <c r="B9" s="1"/>
      <c r="C9" s="6" t="s">
        <v>98</v>
      </c>
      <c r="D9" s="241"/>
      <c r="E9" s="216"/>
      <c r="F9" s="1" t="s">
        <v>11</v>
      </c>
      <c r="G9" s="1"/>
      <c r="H9" s="1"/>
      <c r="I9" s="1"/>
      <c r="J9" s="1"/>
      <c r="K9" s="9" t="str">
        <f>IF($D$13="English","TAC(Type Approval Certificate) Indicator","Bauartzulassung Wägeelektronik")</f>
        <v>TAC(Type Approval Certificate) Indicator</v>
      </c>
      <c r="L9" s="214"/>
      <c r="M9" s="215"/>
      <c r="N9" s="215"/>
      <c r="O9" s="215"/>
      <c r="P9" s="215"/>
      <c r="Q9" s="216"/>
      <c r="R9" s="1"/>
      <c r="S9" s="1"/>
      <c r="T9" s="1"/>
      <c r="U9" s="1"/>
      <c r="V9" s="1"/>
      <c r="W9" s="1"/>
      <c r="X9" s="1"/>
      <c r="Y9" s="1"/>
      <c r="Z9" s="1"/>
    </row>
    <row r="10" spans="1:26" ht="12" customHeight="1">
      <c r="A10" s="1"/>
      <c r="B10" s="1"/>
      <c r="C10" s="6" t="s">
        <v>99</v>
      </c>
      <c r="D10" s="242"/>
      <c r="E10" s="216"/>
      <c r="F10" s="1" t="s">
        <v>11</v>
      </c>
      <c r="G10" s="1"/>
      <c r="H10" s="1"/>
      <c r="I10" s="1"/>
      <c r="J10" s="1"/>
      <c r="K10" s="9" t="str">
        <f>IF($D$13="English","Firmware type and version:","Wägeelektronik Programm und Version")</f>
        <v>Firmware type and version:</v>
      </c>
      <c r="L10" s="214"/>
      <c r="M10" s="215"/>
      <c r="N10" s="215"/>
      <c r="O10" s="215"/>
      <c r="P10" s="215"/>
      <c r="Q10" s="216"/>
      <c r="R10" s="1"/>
      <c r="S10" s="1"/>
      <c r="T10" s="1"/>
      <c r="U10" s="1"/>
      <c r="V10" s="1"/>
      <c r="W10" s="1"/>
      <c r="X10" s="1"/>
      <c r="Y10" s="1"/>
      <c r="Z10" s="1"/>
    </row>
    <row r="11" spans="1:26" ht="12" customHeight="1">
      <c r="A11" s="1"/>
      <c r="B11" s="1"/>
      <c r="C11" s="6"/>
      <c r="D11" s="1"/>
      <c r="E11" s="1"/>
      <c r="F11" s="1"/>
      <c r="G11" s="1"/>
      <c r="H11" s="1"/>
      <c r="I11" s="1"/>
      <c r="J11" s="6"/>
      <c r="K11" s="6"/>
      <c r="L11" s="1"/>
      <c r="M11" s="120" t="str">
        <f>IF($D$13="English","Test Weight Calibrations Current?","Standardgewichte kalibriert?")</f>
        <v>Test Weight Calibrations Current?</v>
      </c>
      <c r="N11" s="181"/>
      <c r="O11" s="1"/>
      <c r="P11" s="1"/>
      <c r="Q11" s="1"/>
      <c r="R11" s="1"/>
      <c r="S11" s="1"/>
      <c r="T11" s="1"/>
      <c r="U11" s="1"/>
      <c r="V11" s="1"/>
      <c r="W11" s="1"/>
      <c r="X11" s="1"/>
      <c r="Y11" s="1"/>
      <c r="Z11" s="1"/>
    </row>
    <row r="12" spans="1:26" ht="12" customHeight="1">
      <c r="A12" s="1"/>
      <c r="B12" s="1"/>
      <c r="C12" s="1"/>
      <c r="D12" s="1"/>
      <c r="E12" s="1"/>
      <c r="F12" s="1"/>
      <c r="G12" s="1"/>
      <c r="H12" s="1"/>
      <c r="K12" s="9" t="str">
        <f>IF($D$13="English","Set-No. of Standard-Weights in use","Set-Nr. der Standardgewichte")</f>
        <v>Set-No. of Standard-Weights in use</v>
      </c>
      <c r="L12" s="247"/>
      <c r="M12" s="248"/>
      <c r="N12" s="248"/>
      <c r="O12" s="248"/>
      <c r="P12" s="248"/>
      <c r="Q12" s="249"/>
      <c r="R12" s="1"/>
      <c r="S12" s="1"/>
      <c r="T12" s="1"/>
      <c r="U12" s="1"/>
      <c r="V12" s="1"/>
      <c r="W12" s="1"/>
      <c r="X12" s="1"/>
      <c r="Y12" s="1"/>
      <c r="Z12" s="1"/>
    </row>
    <row r="13" spans="1:26" ht="12" customHeight="1">
      <c r="A13" s="14" t="s">
        <v>19</v>
      </c>
      <c r="B13" s="1"/>
      <c r="C13" s="1"/>
      <c r="D13" s="174" t="s">
        <v>0</v>
      </c>
      <c r="E13" s="1"/>
      <c r="F13" s="1"/>
      <c r="G13" s="1"/>
      <c r="H13" s="1"/>
      <c r="L13" s="250"/>
      <c r="M13" s="251"/>
      <c r="N13" s="251"/>
      <c r="O13" s="251"/>
      <c r="P13" s="251"/>
      <c r="Q13" s="252"/>
      <c r="R13" s="1"/>
      <c r="S13" s="1"/>
      <c r="T13" s="1"/>
      <c r="U13" s="1"/>
      <c r="V13" s="1"/>
      <c r="W13" s="1"/>
      <c r="X13" s="1"/>
      <c r="Y13" s="1"/>
      <c r="Z13" s="1"/>
    </row>
    <row r="14" spans="1:26" ht="12" customHeight="1">
      <c r="A14" s="14"/>
      <c r="B14" s="1"/>
      <c r="C14" s="1"/>
      <c r="D14" s="16"/>
      <c r="E14" s="1"/>
      <c r="F14" s="1"/>
      <c r="G14" s="1"/>
      <c r="H14" s="1"/>
      <c r="K14" s="9" t="str">
        <f>IF($D$13="English","Set-No. Small Weights in use","Set-Nr. der kleinen Gewichte")</f>
        <v>Set-No. Small Weights in use</v>
      </c>
      <c r="L14" s="247"/>
      <c r="M14" s="248"/>
      <c r="N14" s="248"/>
      <c r="O14" s="248"/>
      <c r="P14" s="248"/>
      <c r="Q14" s="249"/>
      <c r="R14" s="1"/>
      <c r="S14" s="1"/>
      <c r="T14" s="1"/>
      <c r="U14" s="1"/>
      <c r="V14" s="1"/>
      <c r="W14" s="1"/>
      <c r="X14" s="1"/>
      <c r="Y14" s="1"/>
      <c r="Z14" s="1"/>
    </row>
    <row r="15" spans="1:26" ht="12" customHeight="1">
      <c r="A15" s="14"/>
      <c r="B15" s="1"/>
      <c r="C15" s="1"/>
      <c r="D15" s="16"/>
      <c r="E15" s="1"/>
      <c r="F15" s="1"/>
      <c r="G15" s="1"/>
      <c r="H15" s="1"/>
      <c r="K15" s="1"/>
      <c r="L15" s="250"/>
      <c r="M15" s="251"/>
      <c r="N15" s="251"/>
      <c r="O15" s="251"/>
      <c r="P15" s="251"/>
      <c r="Q15" s="252"/>
      <c r="R15" s="1"/>
      <c r="S15" s="1"/>
      <c r="T15" s="1"/>
      <c r="U15" s="1"/>
      <c r="V15" s="1"/>
      <c r="W15" s="1"/>
      <c r="X15" s="1"/>
      <c r="Y15" s="1"/>
      <c r="Z15" s="1"/>
    </row>
    <row r="16" spans="1:26" ht="17.25" customHeight="1">
      <c r="A16" s="7" t="str">
        <f>IF($D$13="English","Load Cell","Wägezelle")</f>
        <v>Load Cell</v>
      </c>
      <c r="B16" s="1"/>
      <c r="C16" s="1" t="str">
        <f>IF($D$13="English","Manufacturer","Hersteller")</f>
        <v>Manufacturer</v>
      </c>
      <c r="D16" s="6"/>
      <c r="E16" s="240"/>
      <c r="F16" s="215"/>
      <c r="G16" s="215"/>
      <c r="H16" s="216"/>
      <c r="I16" s="1" t="s">
        <v>22</v>
      </c>
      <c r="J16" s="253"/>
      <c r="K16" s="216"/>
      <c r="L16" s="1" t="str">
        <f>IF($D$13="English","Total number:","Gesamtanzahl:")</f>
        <v>Total number:</v>
      </c>
      <c r="M16" s="6"/>
      <c r="N16" s="6"/>
      <c r="O16" s="1"/>
      <c r="P16" s="301"/>
      <c r="Q16" s="302"/>
      <c r="R16" s="1"/>
      <c r="S16" s="1"/>
      <c r="T16" s="1"/>
      <c r="U16" s="1"/>
      <c r="V16" s="1"/>
      <c r="W16" s="1"/>
      <c r="X16" s="1"/>
      <c r="Y16" s="1"/>
      <c r="Z16" s="1"/>
    </row>
    <row r="17" spans="1:26" ht="12" customHeight="1">
      <c r="A17" s="1"/>
      <c r="B17" s="1"/>
      <c r="C17" s="1"/>
      <c r="D17" s="1"/>
      <c r="E17" s="1"/>
      <c r="F17" s="1"/>
      <c r="G17" s="6"/>
      <c r="J17" s="17"/>
      <c r="K17" s="1"/>
      <c r="L17" s="1"/>
      <c r="M17" s="1"/>
      <c r="N17" s="1"/>
      <c r="O17" s="1"/>
      <c r="P17" s="1"/>
      <c r="Q17" s="1"/>
      <c r="R17" s="1"/>
      <c r="S17" s="1"/>
      <c r="T17" s="1"/>
      <c r="U17" s="1"/>
      <c r="V17" s="1"/>
      <c r="W17" s="1"/>
      <c r="X17" s="1"/>
      <c r="Y17" s="1"/>
      <c r="Z17" s="1"/>
    </row>
    <row r="18" spans="1:26" ht="12" customHeight="1">
      <c r="A18" s="7" t="str">
        <f>IF($D$13="English","1. Repeatability Test (indicator in hi-res mode):","1. Prüfung der Wiederholbarkeit (Indikator in Hi-Res-Modus):")</f>
        <v>1. Repeatability Test (indicator in hi-res mode):</v>
      </c>
      <c r="B18" s="1"/>
      <c r="C18" s="6"/>
      <c r="D18" s="8"/>
      <c r="E18" s="8"/>
      <c r="F18" s="1"/>
      <c r="G18" s="1"/>
      <c r="H18" s="1"/>
      <c r="I18" s="1" t="str">
        <f>IF($D$13="English","accordance to EN45501-2015, A.4.10","gemäß EN45501-2015, A.4.10")</f>
        <v>accordance to EN45501-2015, A.4.10</v>
      </c>
      <c r="J18" s="1"/>
      <c r="K18" s="6"/>
      <c r="L18" s="6"/>
      <c r="M18" s="6"/>
      <c r="N18" s="1"/>
      <c r="O18" s="1"/>
      <c r="P18" s="1"/>
      <c r="Q18" s="1"/>
      <c r="R18" s="1"/>
      <c r="S18" s="1"/>
      <c r="T18" s="1"/>
      <c r="U18" s="1"/>
      <c r="V18" s="1"/>
      <c r="W18" s="1"/>
      <c r="X18" s="1"/>
      <c r="Y18" s="1"/>
      <c r="Z18" s="1"/>
    </row>
    <row r="19" spans="1:26" ht="12" customHeight="1">
      <c r="A19" s="1" t="str">
        <f>IF($D$13="English","* The zero tracking device may be in operation for the repeatability test.","* Die Nullnachführung darf bei der Prüfung der Wiederholbarkeit eingeschaltet sein")</f>
        <v>* The zero tracking device may be in operation for the repeatability test.</v>
      </c>
      <c r="B19" s="1"/>
      <c r="C19" s="6"/>
      <c r="D19" s="8"/>
      <c r="E19" s="8"/>
      <c r="F19" s="1"/>
      <c r="G19" s="1"/>
      <c r="H19" s="1"/>
      <c r="I19" s="1"/>
      <c r="J19" s="1"/>
      <c r="K19" s="6"/>
      <c r="L19" s="6"/>
      <c r="M19" s="6"/>
      <c r="N19" s="1"/>
      <c r="O19" s="1"/>
      <c r="P19" s="1"/>
      <c r="Q19" s="1"/>
      <c r="R19" s="1"/>
      <c r="S19" s="1"/>
      <c r="T19" s="1"/>
      <c r="U19" s="1"/>
      <c r="V19" s="1"/>
      <c r="W19" s="1"/>
      <c r="X19" s="1"/>
      <c r="Y19" s="1"/>
      <c r="Z19" s="1"/>
    </row>
    <row r="20" spans="1:26" ht="12.75" customHeight="1">
      <c r="A20" s="234" t="str">
        <f>IF($D$13="English","load must be about","ungefähre Last")</f>
        <v>load must be about</v>
      </c>
      <c r="B20" s="223"/>
      <c r="C20" s="220"/>
      <c r="D20" s="231" t="s">
        <v>26</v>
      </c>
      <c r="E20" s="223"/>
      <c r="F20" s="220"/>
      <c r="G20" s="231" t="s">
        <v>27</v>
      </c>
      <c r="H20" s="220"/>
      <c r="I20" s="231" t="s">
        <v>28</v>
      </c>
      <c r="J20" s="220"/>
      <c r="K20" s="231" t="s">
        <v>29</v>
      </c>
      <c r="L20" s="220"/>
      <c r="M20" s="19" t="s">
        <v>30</v>
      </c>
      <c r="N20" s="13"/>
      <c r="O20" s="13"/>
      <c r="P20" s="1"/>
      <c r="Q20" s="1"/>
      <c r="R20" s="88"/>
      <c r="S20" s="1"/>
    </row>
    <row r="21" spans="1:26" ht="12" customHeight="1">
      <c r="A21" s="19" t="s">
        <v>32</v>
      </c>
      <c r="B21" s="239" t="s">
        <v>33</v>
      </c>
      <c r="C21" s="220"/>
      <c r="D21" s="19" t="s">
        <v>32</v>
      </c>
      <c r="E21" s="239" t="s">
        <v>33</v>
      </c>
      <c r="F21" s="220"/>
      <c r="G21" s="231" t="s">
        <v>33</v>
      </c>
      <c r="H21" s="220"/>
      <c r="I21" s="231" t="s">
        <v>33</v>
      </c>
      <c r="J21" s="223"/>
      <c r="K21" s="19" t="s">
        <v>33</v>
      </c>
      <c r="L21" s="21" t="s">
        <v>32</v>
      </c>
      <c r="M21" s="19" t="s">
        <v>34</v>
      </c>
      <c r="N21" s="13"/>
      <c r="O21" s="13"/>
      <c r="P21" s="1"/>
      <c r="Q21" s="1"/>
      <c r="R21" s="1"/>
      <c r="S21" s="1"/>
    </row>
    <row r="22" spans="1:26" ht="12" customHeight="1">
      <c r="A22" s="24" t="str">
        <f t="shared" ref="A22:A24" si="0">IF($D$10=0," ",$D$9/$D$10*0.8)</f>
        <v xml:space="preserve"> </v>
      </c>
      <c r="B22" s="306">
        <f t="shared" ref="B22:B24" si="1">$D$9*0.8</f>
        <v>0</v>
      </c>
      <c r="C22" s="220"/>
      <c r="D22" s="38" t="str">
        <f t="shared" ref="D22:D24" si="2">IF($D$10=0," ",E22/$D$10)</f>
        <v xml:space="preserve"> </v>
      </c>
      <c r="E22" s="230"/>
      <c r="F22" s="216"/>
      <c r="G22" s="230"/>
      <c r="H22" s="216"/>
      <c r="I22" s="228" t="str">
        <f t="shared" ref="I22:I24" si="3">IF(G22=0," ",ABS(G22-E22))</f>
        <v xml:space="preserve"> </v>
      </c>
      <c r="J22" s="220"/>
      <c r="K22" s="129">
        <f t="shared" ref="K22:K25" si="4">L22*$D$10</f>
        <v>0</v>
      </c>
      <c r="L22" s="26">
        <f t="shared" ref="L22:L24" si="5">IF(D22=" ",0,IF(D22&lt;=500,0.5,(IF(D22&lt;=2000,1,IF(D22&gt;2000,1.5," ")))))</f>
        <v>0</v>
      </c>
      <c r="M22" s="27" t="str">
        <f t="shared" ref="M22:M25" si="6">IF(I22&lt;=K22,"Y","N")</f>
        <v>N</v>
      </c>
      <c r="N22" s="1"/>
      <c r="O22" s="1"/>
      <c r="P22" s="1"/>
      <c r="Q22" s="1"/>
      <c r="R22" s="1"/>
      <c r="S22" s="1"/>
      <c r="T22" s="1"/>
      <c r="U22" s="1"/>
      <c r="V22" s="1"/>
      <c r="W22" s="1"/>
      <c r="X22" s="1"/>
      <c r="Y22" s="1"/>
      <c r="Z22" s="1"/>
    </row>
    <row r="23" spans="1:26" ht="12" customHeight="1">
      <c r="A23" s="24" t="str">
        <f t="shared" si="0"/>
        <v xml:space="preserve"> </v>
      </c>
      <c r="B23" s="306">
        <f t="shared" si="1"/>
        <v>0</v>
      </c>
      <c r="C23" s="220"/>
      <c r="D23" s="38" t="str">
        <f t="shared" si="2"/>
        <v xml:space="preserve"> </v>
      </c>
      <c r="E23" s="227">
        <f>E22</f>
        <v>0</v>
      </c>
      <c r="F23" s="220"/>
      <c r="G23" s="230"/>
      <c r="H23" s="216"/>
      <c r="I23" s="228" t="str">
        <f t="shared" si="3"/>
        <v xml:space="preserve"> </v>
      </c>
      <c r="J23" s="220"/>
      <c r="K23" s="129">
        <f t="shared" si="4"/>
        <v>0</v>
      </c>
      <c r="L23" s="26">
        <f t="shared" si="5"/>
        <v>0</v>
      </c>
      <c r="M23" s="27" t="str">
        <f t="shared" si="6"/>
        <v>N</v>
      </c>
      <c r="N23" s="1"/>
      <c r="O23" s="1"/>
      <c r="P23" s="1"/>
      <c r="Q23" s="1"/>
      <c r="R23" s="1"/>
      <c r="S23" s="1"/>
      <c r="T23" s="1"/>
      <c r="U23" s="1"/>
      <c r="V23" s="1"/>
      <c r="W23" s="1"/>
      <c r="X23" s="1"/>
      <c r="Y23" s="1"/>
      <c r="Z23" s="1"/>
    </row>
    <row r="24" spans="1:26" ht="12" customHeight="1">
      <c r="A24" s="24" t="str">
        <f t="shared" si="0"/>
        <v xml:space="preserve"> </v>
      </c>
      <c r="B24" s="306">
        <f t="shared" si="1"/>
        <v>0</v>
      </c>
      <c r="C24" s="220"/>
      <c r="D24" s="38" t="str">
        <f t="shared" si="2"/>
        <v xml:space="preserve"> </v>
      </c>
      <c r="E24" s="227">
        <f>E22</f>
        <v>0</v>
      </c>
      <c r="F24" s="220"/>
      <c r="G24" s="230"/>
      <c r="H24" s="216"/>
      <c r="I24" s="228" t="str">
        <f t="shared" si="3"/>
        <v xml:space="preserve"> </v>
      </c>
      <c r="J24" s="220"/>
      <c r="K24" s="129">
        <f t="shared" si="4"/>
        <v>0</v>
      </c>
      <c r="L24" s="26">
        <f t="shared" si="5"/>
        <v>0</v>
      </c>
      <c r="M24" s="27" t="str">
        <f t="shared" si="6"/>
        <v>N</v>
      </c>
      <c r="N24" s="1"/>
      <c r="O24" s="1"/>
      <c r="P24" s="1"/>
      <c r="Q24" s="1"/>
      <c r="R24" s="1"/>
      <c r="S24" s="1"/>
      <c r="T24" s="1"/>
      <c r="U24" s="1"/>
      <c r="V24" s="1"/>
      <c r="W24" s="1"/>
      <c r="X24" s="1"/>
      <c r="Y24" s="1"/>
      <c r="Z24" s="1"/>
    </row>
    <row r="25" spans="1:26" ht="12" customHeight="1">
      <c r="A25" s="28"/>
      <c r="B25" s="130"/>
      <c r="C25" s="131"/>
      <c r="D25" s="53"/>
      <c r="E25" s="132"/>
      <c r="F25" s="133"/>
      <c r="G25" s="231" t="s">
        <v>120</v>
      </c>
      <c r="H25" s="220"/>
      <c r="I25" s="228">
        <f>IF(G22=0,0,ROUND((MAX(G22:H24)-MIN(G22:H24)),4))</f>
        <v>0</v>
      </c>
      <c r="J25" s="220"/>
      <c r="K25" s="129">
        <f t="shared" si="4"/>
        <v>0</v>
      </c>
      <c r="L25" s="26">
        <f>IF(OR(D22=" ",D23=" ",D24=" "),0,IF(AND(D22&lt;=500,D23&lt;=500,D24&lt;=500),0.5,(IF(AND(D22&lt;=2000,D23&lt;=2000,D24&lt;=2000),1,IF(AND(D22&gt;2000,D23&gt;2000,D24&gt;2000),1.5," ")))))</f>
        <v>0</v>
      </c>
      <c r="M25" s="27" t="str">
        <f t="shared" si="6"/>
        <v>Y</v>
      </c>
      <c r="N25" s="1"/>
      <c r="O25" s="1"/>
      <c r="P25" s="1"/>
      <c r="Q25" s="1"/>
      <c r="R25" s="1"/>
      <c r="S25" s="1"/>
      <c r="T25" s="1"/>
      <c r="U25" s="1"/>
      <c r="V25" s="1"/>
      <c r="W25" s="1"/>
      <c r="X25" s="1"/>
      <c r="Y25" s="1"/>
      <c r="Z25" s="1"/>
    </row>
    <row r="26" spans="1:26" ht="12" customHeight="1">
      <c r="A26" s="1"/>
      <c r="B26" s="1"/>
      <c r="C26" s="1"/>
      <c r="D26" s="1"/>
      <c r="E26" s="1"/>
      <c r="F26" s="1"/>
      <c r="G26" s="1"/>
      <c r="H26" s="1"/>
      <c r="I26" s="1"/>
      <c r="J26" s="224" t="str">
        <f>IF($D$13="English","Test passed?","Test bestanden?")</f>
        <v>Test passed?</v>
      </c>
      <c r="K26" s="225"/>
      <c r="L26" s="226"/>
      <c r="M26" s="27" t="str">
        <f>IF(AND(M22="Y",M23="Y",M24="Y",M25="Y"),"Y","N")</f>
        <v>N</v>
      </c>
      <c r="N26" s="1"/>
      <c r="O26" s="1"/>
      <c r="P26" s="1"/>
      <c r="Q26" s="1"/>
      <c r="R26" s="1"/>
      <c r="S26" s="1"/>
      <c r="T26" s="1"/>
      <c r="U26" s="1"/>
      <c r="V26" s="1"/>
      <c r="W26" s="1"/>
      <c r="X26" s="1"/>
      <c r="Y26" s="1"/>
      <c r="Z26" s="1"/>
    </row>
    <row r="27" spans="1:26" ht="12" customHeight="1">
      <c r="A27" s="1"/>
      <c r="B27" s="1"/>
      <c r="C27" s="1"/>
      <c r="D27" s="1"/>
      <c r="E27" s="1"/>
      <c r="F27" s="1"/>
      <c r="G27" s="1"/>
      <c r="H27" s="1"/>
      <c r="I27" s="1"/>
      <c r="J27" s="6"/>
      <c r="M27" s="125"/>
      <c r="N27" s="1"/>
      <c r="O27" s="1"/>
      <c r="P27" s="1"/>
      <c r="Q27" s="1"/>
      <c r="R27" s="1"/>
      <c r="S27" s="1"/>
      <c r="T27" s="1"/>
      <c r="U27" s="1"/>
      <c r="V27" s="1"/>
      <c r="W27" s="1"/>
      <c r="X27" s="1"/>
      <c r="Y27" s="1"/>
      <c r="Z27" s="1"/>
    </row>
    <row r="28" spans="1:26" ht="15.75" customHeight="1">
      <c r="A28" s="7" t="str">
        <f>IF($D$13="English","2.  Accuracy of Zero Device (hi-res mode: off):","2.  Prüfung der Genauigkeit der Nullstellung (Hi-Res-Modus aus):")</f>
        <v>2.  Accuracy of Zero Device (hi-res mode: off):</v>
      </c>
      <c r="B28" s="1"/>
      <c r="C28" s="1"/>
      <c r="D28" s="1"/>
      <c r="E28" s="1"/>
      <c r="F28" s="1"/>
      <c r="G28" s="1"/>
      <c r="H28" s="1"/>
      <c r="I28" s="1" t="str">
        <f>IF($D$13="English","accordance to EN45501-2015, A.4.2.3","gemäß EN45501-2015, A.4.2.3")</f>
        <v>accordance to EN45501-2015, A.4.2.3</v>
      </c>
      <c r="J28" s="1"/>
      <c r="K28" s="1"/>
      <c r="L28" s="30"/>
      <c r="M28" s="1"/>
      <c r="N28" s="1"/>
      <c r="O28" s="1"/>
      <c r="P28" s="1"/>
      <c r="Q28" s="1"/>
      <c r="R28" s="1"/>
      <c r="S28" s="1"/>
      <c r="T28" s="1"/>
      <c r="U28" s="1"/>
      <c r="V28" s="1"/>
      <c r="W28" s="1"/>
      <c r="X28" s="1"/>
      <c r="Y28" s="1"/>
      <c r="Z28" s="1"/>
    </row>
    <row r="29" spans="1:26" ht="12" customHeight="1">
      <c r="A29" s="231" t="s">
        <v>48</v>
      </c>
      <c r="B29" s="223"/>
      <c r="C29" s="223"/>
      <c r="D29" s="220"/>
      <c r="E29" s="231" t="s">
        <v>49</v>
      </c>
      <c r="F29" s="223"/>
      <c r="G29" s="220"/>
      <c r="H29" s="231" t="s">
        <v>29</v>
      </c>
      <c r="I29" s="220"/>
      <c r="J29" s="19" t="s">
        <v>30</v>
      </c>
      <c r="K29" s="30"/>
      <c r="L29" s="1"/>
      <c r="M29" s="1"/>
      <c r="N29" s="1"/>
      <c r="O29" s="1"/>
      <c r="P29" s="1"/>
      <c r="Q29" s="1"/>
      <c r="R29" s="1"/>
      <c r="S29" s="1"/>
      <c r="T29" s="1"/>
      <c r="U29" s="1"/>
      <c r="V29" s="1"/>
      <c r="W29" s="1"/>
      <c r="X29" s="1"/>
      <c r="Y29" s="1"/>
      <c r="Z29" s="1"/>
    </row>
    <row r="30" spans="1:26" ht="12.75" customHeight="1">
      <c r="A30" s="231" t="s">
        <v>33</v>
      </c>
      <c r="B30" s="223"/>
      <c r="C30" s="223"/>
      <c r="D30" s="220"/>
      <c r="E30" s="231" t="s">
        <v>33</v>
      </c>
      <c r="F30" s="223"/>
      <c r="G30" s="220"/>
      <c r="H30" s="19" t="s">
        <v>33</v>
      </c>
      <c r="I30" s="21" t="s">
        <v>32</v>
      </c>
      <c r="J30" s="19" t="s">
        <v>34</v>
      </c>
      <c r="K30" s="30"/>
      <c r="L30" s="1"/>
      <c r="M30" s="1"/>
      <c r="N30" s="1"/>
      <c r="O30" s="1"/>
      <c r="P30" s="1"/>
      <c r="Q30" s="1"/>
      <c r="R30" s="1"/>
      <c r="S30" s="1"/>
      <c r="T30" s="1"/>
      <c r="U30" s="1"/>
      <c r="V30" s="1"/>
      <c r="W30" s="1"/>
      <c r="X30" s="1"/>
      <c r="Y30" s="1"/>
      <c r="Z30" s="1"/>
    </row>
    <row r="31" spans="1:26" ht="12" customHeight="1">
      <c r="A31" s="235"/>
      <c r="B31" s="215"/>
      <c r="C31" s="215"/>
      <c r="D31" s="216"/>
      <c r="E31" s="228">
        <f>0.5*$D$10-$A$31</f>
        <v>0</v>
      </c>
      <c r="F31" s="223"/>
      <c r="G31" s="220"/>
      <c r="H31" s="71">
        <f>I31*$D$10</f>
        <v>0</v>
      </c>
      <c r="I31" s="36">
        <v>0.25</v>
      </c>
      <c r="J31" s="27" t="str">
        <f>IF(D31=" ","N",IF(H31&gt;=ABS($E31),"Y","N"))</f>
        <v>Y</v>
      </c>
      <c r="K31" s="28"/>
      <c r="R31" s="1"/>
      <c r="S31" s="1"/>
      <c r="T31" s="1"/>
      <c r="U31" s="1"/>
      <c r="V31" s="1"/>
      <c r="W31" s="1"/>
      <c r="X31" s="1"/>
      <c r="Y31" s="1"/>
      <c r="Z31" s="1"/>
    </row>
    <row r="32" spans="1:26" ht="12" customHeight="1">
      <c r="A32" s="7"/>
      <c r="B32" s="7"/>
      <c r="C32" s="1"/>
      <c r="D32" s="1"/>
      <c r="E32" s="1"/>
      <c r="F32" s="1"/>
      <c r="G32" s="1"/>
      <c r="H32" s="1"/>
      <c r="I32" s="6" t="str">
        <f>IF($D$13="English","Test passed?","Test bestanden?")</f>
        <v>Test passed?</v>
      </c>
      <c r="J32" s="27" t="str">
        <f>IF(J31="Y","Y","N")</f>
        <v>Y</v>
      </c>
      <c r="K32" s="1"/>
      <c r="R32" s="1"/>
      <c r="S32" s="1"/>
      <c r="T32" s="1"/>
      <c r="U32" s="1"/>
      <c r="V32" s="1"/>
      <c r="W32" s="1"/>
      <c r="X32" s="1"/>
      <c r="Y32" s="1"/>
      <c r="Z32" s="1"/>
    </row>
    <row r="33" spans="1:26" ht="12" customHeight="1">
      <c r="A33" s="7"/>
      <c r="B33" s="1"/>
      <c r="C33" s="1"/>
      <c r="D33" s="1"/>
      <c r="E33" s="1"/>
      <c r="F33" s="1"/>
      <c r="G33" s="1"/>
      <c r="H33" s="1"/>
      <c r="I33" s="1"/>
      <c r="J33" s="1"/>
      <c r="K33" s="1"/>
      <c r="L33" s="30"/>
      <c r="M33" s="1"/>
      <c r="R33" s="1"/>
      <c r="S33" s="1"/>
      <c r="T33" s="1"/>
      <c r="U33" s="1"/>
      <c r="V33" s="1"/>
      <c r="W33" s="1"/>
      <c r="X33" s="1"/>
      <c r="Y33" s="1"/>
      <c r="Z33" s="1"/>
    </row>
    <row r="34" spans="1:26" ht="12" customHeight="1">
      <c r="A34" s="7" t="str">
        <f>IF($D$13="English","3.  Accuracy of Tare Device  (hi-res mode: off):","3.  Genauigkeit der Tarierung  (Hi-Res-Modus: aus):")</f>
        <v>3.  Accuracy of Tare Device  (hi-res mode: off):</v>
      </c>
      <c r="B34" s="31"/>
      <c r="C34" s="32"/>
      <c r="D34" s="1"/>
      <c r="E34" s="1"/>
      <c r="F34" s="1"/>
      <c r="G34" s="1" t="str">
        <f>IF($D$13="English","accordance to EN45501-2015, A.4.6.2","gemäß EN45501-2015, A.4.6.2")</f>
        <v>accordance to EN45501-2015, A.4.6.2</v>
      </c>
      <c r="H34" s="1"/>
      <c r="J34" s="17"/>
      <c r="K34" s="1"/>
      <c r="L34" s="1"/>
      <c r="M34" s="33" t="s">
        <v>50</v>
      </c>
      <c r="O34" s="34"/>
      <c r="R34" s="1"/>
      <c r="S34" s="1"/>
      <c r="T34" s="1"/>
      <c r="U34" s="1"/>
      <c r="V34" s="1"/>
      <c r="W34" s="1"/>
      <c r="X34" s="1"/>
      <c r="Y34" s="1"/>
      <c r="Z34" s="1"/>
    </row>
    <row r="35" spans="1:26" ht="12" customHeight="1">
      <c r="A35" s="1"/>
      <c r="B35" s="31"/>
      <c r="C35" s="32"/>
      <c r="D35" s="1"/>
      <c r="E35" s="1"/>
      <c r="F35" s="1"/>
      <c r="G35" s="6"/>
      <c r="H35" s="1"/>
      <c r="I35" s="1"/>
      <c r="J35" s="17"/>
      <c r="K35" s="1"/>
      <c r="L35" s="1"/>
      <c r="M35" s="1"/>
      <c r="N35" s="1"/>
      <c r="O35" s="1"/>
      <c r="P35" s="1"/>
      <c r="Q35" s="1"/>
      <c r="R35" s="1"/>
      <c r="S35" s="1"/>
      <c r="T35" s="1"/>
      <c r="U35" s="1"/>
      <c r="V35" s="1"/>
      <c r="W35" s="1"/>
      <c r="X35" s="1"/>
      <c r="Y35" s="1"/>
      <c r="Z35" s="1"/>
    </row>
    <row r="36" spans="1:26" ht="12" customHeight="1">
      <c r="A36" s="231" t="s">
        <v>48</v>
      </c>
      <c r="B36" s="223"/>
      <c r="C36" s="223"/>
      <c r="D36" s="220"/>
      <c r="E36" s="231" t="s">
        <v>51</v>
      </c>
      <c r="F36" s="223"/>
      <c r="G36" s="220"/>
      <c r="H36" s="231" t="s">
        <v>29</v>
      </c>
      <c r="I36" s="220"/>
      <c r="J36" s="19" t="s">
        <v>30</v>
      </c>
      <c r="K36" s="1"/>
      <c r="L36" s="1"/>
      <c r="M36" s="1"/>
      <c r="N36" s="1"/>
      <c r="O36" s="1"/>
      <c r="P36" s="1"/>
      <c r="Q36" s="1"/>
      <c r="R36" s="1"/>
      <c r="S36" s="1"/>
      <c r="T36" s="1"/>
      <c r="U36" s="1"/>
      <c r="V36" s="1"/>
      <c r="W36" s="1"/>
      <c r="X36" s="1"/>
      <c r="Y36" s="1"/>
      <c r="Z36" s="1"/>
    </row>
    <row r="37" spans="1:26" ht="12" customHeight="1">
      <c r="A37" s="231" t="s">
        <v>33</v>
      </c>
      <c r="B37" s="223"/>
      <c r="C37" s="223"/>
      <c r="D37" s="220"/>
      <c r="E37" s="231" t="s">
        <v>33</v>
      </c>
      <c r="F37" s="223"/>
      <c r="G37" s="220"/>
      <c r="H37" s="19" t="s">
        <v>33</v>
      </c>
      <c r="I37" s="21" t="s">
        <v>32</v>
      </c>
      <c r="J37" s="19" t="s">
        <v>34</v>
      </c>
      <c r="K37" s="1"/>
      <c r="L37" s="1"/>
      <c r="M37" s="1"/>
      <c r="N37" s="1"/>
      <c r="O37" s="1"/>
      <c r="P37" s="1"/>
      <c r="Q37" s="1"/>
      <c r="R37" s="1"/>
      <c r="S37" s="1"/>
      <c r="T37" s="1"/>
      <c r="U37" s="1"/>
      <c r="V37" s="1"/>
      <c r="W37" s="1"/>
      <c r="X37" s="1"/>
      <c r="Y37" s="1"/>
      <c r="Z37" s="1"/>
    </row>
    <row r="38" spans="1:26" ht="12" customHeight="1">
      <c r="A38" s="235"/>
      <c r="B38" s="215"/>
      <c r="C38" s="215"/>
      <c r="D38" s="216"/>
      <c r="E38" s="228" t="str">
        <f>IF(A38=0," ",0.5*$D$10-$A$38)</f>
        <v xml:space="preserve"> </v>
      </c>
      <c r="F38" s="223"/>
      <c r="G38" s="220"/>
      <c r="H38" s="71">
        <f>I38*$D$10</f>
        <v>0</v>
      </c>
      <c r="I38" s="36">
        <v>0.25</v>
      </c>
      <c r="J38" s="27" t="str">
        <f>IF(A38=0," ",IF(H38&gt;=ABS($E38),"Y","N"))</f>
        <v xml:space="preserve"> </v>
      </c>
      <c r="K38" s="1"/>
      <c r="L38" s="1"/>
      <c r="M38" s="1"/>
      <c r="N38" s="1"/>
      <c r="O38" s="1"/>
      <c r="P38" s="1"/>
      <c r="Q38" s="1"/>
      <c r="R38" s="1"/>
      <c r="S38" s="1"/>
      <c r="T38" s="1"/>
      <c r="U38" s="1"/>
      <c r="V38" s="1"/>
      <c r="W38" s="1"/>
      <c r="X38" s="1"/>
      <c r="Y38" s="1"/>
      <c r="Z38" s="1"/>
    </row>
    <row r="39" spans="1:26" ht="12" customHeight="1">
      <c r="A39" s="7"/>
      <c r="B39" s="7"/>
      <c r="C39" s="1"/>
      <c r="D39" s="1"/>
      <c r="E39" s="1"/>
      <c r="F39" s="1"/>
      <c r="G39" s="1"/>
      <c r="H39" s="1"/>
      <c r="I39" s="6" t="str">
        <f>IF($D$13="English","Test passed?","Test bestanden?")</f>
        <v>Test passed?</v>
      </c>
      <c r="J39" s="27" t="str">
        <f>IF(J38="Y","Y","N")</f>
        <v>N</v>
      </c>
      <c r="K39" s="1"/>
      <c r="L39" s="1"/>
      <c r="M39" s="1"/>
      <c r="N39" s="1"/>
      <c r="O39" s="1"/>
      <c r="P39" s="1"/>
      <c r="Q39" s="1"/>
      <c r="R39" s="1"/>
      <c r="S39" s="1"/>
      <c r="T39" s="1"/>
      <c r="U39" s="1"/>
      <c r="V39" s="1"/>
      <c r="W39" s="1"/>
      <c r="X39" s="1"/>
      <c r="Y39" s="1"/>
      <c r="Z39" s="1"/>
    </row>
    <row r="40" spans="1:26" ht="12" customHeight="1">
      <c r="A40" s="1"/>
      <c r="B40" s="1"/>
      <c r="C40" s="1"/>
      <c r="D40" s="1"/>
      <c r="E40" s="1"/>
      <c r="F40" s="1"/>
      <c r="G40" s="6"/>
      <c r="J40" s="17"/>
      <c r="K40" s="1"/>
      <c r="L40" s="1"/>
      <c r="M40" s="1"/>
      <c r="N40" s="1"/>
      <c r="O40" s="1"/>
      <c r="P40" s="1"/>
      <c r="Q40" s="1"/>
      <c r="R40" s="1"/>
      <c r="S40" s="1"/>
      <c r="T40" s="1"/>
      <c r="U40" s="1"/>
      <c r="V40" s="1"/>
      <c r="W40" s="1"/>
      <c r="X40" s="1"/>
      <c r="Y40" s="1"/>
      <c r="Z40" s="1"/>
    </row>
    <row r="41" spans="1:26" ht="12" customHeight="1">
      <c r="A41" s="297" t="str">
        <f>IF($D$13="English","4.  Weighing / Linearity Test (Indicator in hi-res mode):","4. Prüfung der Richtigkeit mit Normallast (Indikator in Hi-Res-Modus):")</f>
        <v>4.  Weighing / Linearity Test (Indicator in hi-res mode):</v>
      </c>
      <c r="B41" s="237"/>
      <c r="C41" s="237"/>
      <c r="D41" s="237"/>
      <c r="E41" s="237"/>
      <c r="F41" s="237"/>
      <c r="G41" s="237"/>
      <c r="H41" s="237"/>
      <c r="I41" s="1"/>
      <c r="J41" s="14"/>
      <c r="K41" s="1"/>
      <c r="L41" s="1"/>
      <c r="M41" s="6"/>
      <c r="N41" s="1"/>
      <c r="O41" s="1"/>
      <c r="P41" s="1"/>
      <c r="Q41" s="1"/>
      <c r="R41" s="1"/>
      <c r="S41" s="1"/>
      <c r="T41" s="1"/>
      <c r="U41" s="1"/>
      <c r="V41" s="1"/>
      <c r="W41" s="1"/>
      <c r="X41" s="1"/>
      <c r="Y41" s="1"/>
      <c r="Z41" s="1"/>
    </row>
    <row r="42" spans="1:26" ht="12" customHeight="1">
      <c r="A42" s="298"/>
      <c r="B42" s="298"/>
      <c r="C42" s="298"/>
      <c r="D42" s="298"/>
      <c r="E42" s="298"/>
      <c r="F42" s="298"/>
      <c r="G42" s="298"/>
      <c r="H42" s="298"/>
      <c r="I42" s="1" t="str">
        <f>IF($D$13="English","accordance to EN45501-2015, A.4.4.1","gemäß EN45501-2015, A.4.4.1")</f>
        <v>accordance to EN45501-2015, A.4.4.1</v>
      </c>
      <c r="J42" s="14"/>
      <c r="K42" s="1"/>
      <c r="L42" s="1"/>
      <c r="M42" s="6"/>
      <c r="N42" s="1"/>
      <c r="O42" s="1"/>
      <c r="P42" s="1"/>
      <c r="Q42" s="1"/>
      <c r="R42" s="1"/>
      <c r="S42" s="1"/>
      <c r="T42" s="1"/>
      <c r="U42" s="1"/>
      <c r="V42" s="1"/>
      <c r="W42" s="1"/>
      <c r="X42" s="1"/>
      <c r="Y42" s="1"/>
      <c r="Z42" s="1"/>
    </row>
    <row r="43" spans="1:26" ht="12" customHeight="1">
      <c r="A43" s="234" t="str">
        <f>IF($D$13="English","load must be about","ungefähre Last")</f>
        <v>load must be about</v>
      </c>
      <c r="B43" s="223"/>
      <c r="C43" s="220"/>
      <c r="D43" s="231" t="s">
        <v>26</v>
      </c>
      <c r="E43" s="223"/>
      <c r="F43" s="220"/>
      <c r="G43" s="231" t="s">
        <v>27</v>
      </c>
      <c r="H43" s="220"/>
      <c r="I43" s="231" t="s">
        <v>101</v>
      </c>
      <c r="J43" s="220"/>
      <c r="K43" s="231" t="s">
        <v>29</v>
      </c>
      <c r="L43" s="220"/>
      <c r="M43" s="232" t="s">
        <v>121</v>
      </c>
      <c r="N43" s="223"/>
      <c r="O43" s="220"/>
      <c r="P43" s="19" t="s">
        <v>30</v>
      </c>
      <c r="Q43" s="1"/>
      <c r="R43" s="1"/>
      <c r="S43" s="1"/>
      <c r="T43" s="1"/>
      <c r="U43" s="1"/>
      <c r="V43" s="1"/>
      <c r="W43" s="1"/>
      <c r="X43" s="1"/>
      <c r="Y43" s="1"/>
      <c r="Z43" s="1"/>
    </row>
    <row r="44" spans="1:26" ht="12" customHeight="1">
      <c r="A44" s="19" t="s">
        <v>32</v>
      </c>
      <c r="B44" s="239" t="s">
        <v>33</v>
      </c>
      <c r="C44" s="220"/>
      <c r="D44" s="19" t="s">
        <v>32</v>
      </c>
      <c r="E44" s="239" t="s">
        <v>33</v>
      </c>
      <c r="F44" s="220"/>
      <c r="G44" s="231" t="s">
        <v>33</v>
      </c>
      <c r="H44" s="220"/>
      <c r="I44" s="231" t="s">
        <v>33</v>
      </c>
      <c r="J44" s="223"/>
      <c r="K44" s="19" t="s">
        <v>33</v>
      </c>
      <c r="L44" s="21" t="s">
        <v>32</v>
      </c>
      <c r="M44" s="231" t="s">
        <v>33</v>
      </c>
      <c r="N44" s="223"/>
      <c r="O44" s="223"/>
      <c r="P44" s="19" t="s">
        <v>34</v>
      </c>
      <c r="Q44" s="1"/>
      <c r="R44" s="1"/>
      <c r="S44" s="1"/>
      <c r="T44" s="1"/>
      <c r="U44" s="1"/>
      <c r="V44" s="1"/>
      <c r="W44" s="1"/>
      <c r="X44" s="1"/>
      <c r="Y44" s="1"/>
      <c r="Z44" s="1"/>
    </row>
    <row r="45" spans="1:26" ht="12" customHeight="1">
      <c r="A45" s="38">
        <v>20</v>
      </c>
      <c r="B45" s="306">
        <f>A45*$D$10</f>
        <v>0</v>
      </c>
      <c r="C45" s="220"/>
      <c r="D45" s="24" t="str">
        <f t="shared" ref="D45:D53" si="7">IF($D$10=0,"-",E45/$D$10)</f>
        <v>-</v>
      </c>
      <c r="E45" s="230"/>
      <c r="F45" s="216"/>
      <c r="G45" s="230"/>
      <c r="H45" s="216"/>
      <c r="I45" s="228" t="str">
        <f t="shared" ref="I45:I53" si="8">IF(G45=0," ",(G45-E45))</f>
        <v xml:space="preserve"> </v>
      </c>
      <c r="J45" s="220"/>
      <c r="K45" s="129">
        <f t="shared" ref="K45:K53" si="9">IF(L45=" "," ",L45*$D$10)</f>
        <v>0</v>
      </c>
      <c r="L45" s="26">
        <f t="shared" ref="L45:L53" si="10">IF(D45&lt;=500,0.5,(IF(D45&lt;=2000,1,IF(D45&gt;2000,1.5," "))))</f>
        <v>1.5</v>
      </c>
      <c r="M45" s="228" t="str">
        <f t="shared" ref="M45:M53" si="11">IF(E45=0," ",IF($E$31=" "," ",ROUND(I45-$E$31,3)))</f>
        <v xml:space="preserve"> </v>
      </c>
      <c r="N45" s="223"/>
      <c r="O45" s="220"/>
      <c r="P45" s="27" t="str">
        <f t="shared" ref="P45:P53" si="12">IF(M45=" "," ",IF(ABS(M45)&lt;=K45,"Y","N"))</f>
        <v xml:space="preserve"> </v>
      </c>
      <c r="Q45" s="1"/>
      <c r="R45" s="1"/>
      <c r="S45" s="1"/>
      <c r="T45" s="1"/>
      <c r="U45" s="1"/>
      <c r="V45" s="1"/>
      <c r="W45" s="1"/>
      <c r="X45" s="1"/>
      <c r="Y45" s="1"/>
      <c r="Z45" s="1"/>
    </row>
    <row r="46" spans="1:26" ht="12" customHeight="1">
      <c r="A46" s="24" t="str">
        <f>IF($D$10=0,"-",IF($D$9/$D$10=500,100,IF($D$9/$D$10&lt;=1000,100,IF($D$9/$D$10&lt;=2000,200,500))))</f>
        <v>-</v>
      </c>
      <c r="B46" s="306" t="str">
        <f t="shared" ref="B46:B52" si="13">IF($D$10=0," ",A46*$D$10)</f>
        <v xml:space="preserve"> </v>
      </c>
      <c r="C46" s="220"/>
      <c r="D46" s="24" t="str">
        <f t="shared" si="7"/>
        <v>-</v>
      </c>
      <c r="E46" s="230"/>
      <c r="F46" s="216"/>
      <c r="G46" s="230"/>
      <c r="H46" s="216"/>
      <c r="I46" s="228" t="str">
        <f t="shared" si="8"/>
        <v xml:space="preserve"> </v>
      </c>
      <c r="J46" s="220"/>
      <c r="K46" s="129">
        <f t="shared" si="9"/>
        <v>0</v>
      </c>
      <c r="L46" s="26">
        <f t="shared" si="10"/>
        <v>1.5</v>
      </c>
      <c r="M46" s="228" t="str">
        <f t="shared" si="11"/>
        <v xml:space="preserve"> </v>
      </c>
      <c r="N46" s="223"/>
      <c r="O46" s="220"/>
      <c r="P46" s="27" t="str">
        <f t="shared" si="12"/>
        <v xml:space="preserve"> </v>
      </c>
      <c r="Q46" s="1"/>
      <c r="R46" s="1"/>
      <c r="S46" s="1"/>
      <c r="T46" s="1"/>
      <c r="U46" s="1"/>
      <c r="V46" s="1"/>
      <c r="W46" s="1"/>
      <c r="X46" s="1"/>
      <c r="Y46" s="1"/>
      <c r="Z46" s="1"/>
    </row>
    <row r="47" spans="1:26" ht="12" customHeight="1">
      <c r="A47" s="24" t="str">
        <f>IF($D$10=0,"-",IF($D$9/$D$10=500,200,IF($D$9/$D$10&lt;=1000,200,IF($D$9/$D$10&lt;=2000,500,1000))))</f>
        <v>-</v>
      </c>
      <c r="B47" s="306" t="str">
        <f t="shared" si="13"/>
        <v xml:space="preserve"> </v>
      </c>
      <c r="C47" s="220"/>
      <c r="D47" s="24" t="str">
        <f t="shared" si="7"/>
        <v>-</v>
      </c>
      <c r="E47" s="230"/>
      <c r="F47" s="216"/>
      <c r="G47" s="230"/>
      <c r="H47" s="216"/>
      <c r="I47" s="228" t="str">
        <f t="shared" si="8"/>
        <v xml:space="preserve"> </v>
      </c>
      <c r="J47" s="220"/>
      <c r="K47" s="129">
        <f t="shared" si="9"/>
        <v>0</v>
      </c>
      <c r="L47" s="26">
        <f t="shared" si="10"/>
        <v>1.5</v>
      </c>
      <c r="M47" s="228" t="str">
        <f t="shared" si="11"/>
        <v xml:space="preserve"> </v>
      </c>
      <c r="N47" s="223"/>
      <c r="O47" s="220"/>
      <c r="P47" s="27" t="str">
        <f t="shared" si="12"/>
        <v xml:space="preserve"> </v>
      </c>
      <c r="Q47" s="1"/>
      <c r="R47" s="1"/>
      <c r="S47" s="1"/>
      <c r="T47" s="1"/>
      <c r="U47" s="1"/>
      <c r="V47" s="1"/>
      <c r="W47" s="1"/>
      <c r="X47" s="1"/>
      <c r="Y47" s="1"/>
      <c r="Z47" s="1"/>
    </row>
    <row r="48" spans="1:26" ht="12" customHeight="1">
      <c r="A48" s="24" t="str">
        <f>IF($D$10=0,"-",IF($D$9/$D$10=500,300,IF($D$9/$D$10&lt;=1000,500,IF($D$9/$D$10&lt;=2000,1000,2000))))</f>
        <v>-</v>
      </c>
      <c r="B48" s="306" t="str">
        <f t="shared" si="13"/>
        <v xml:space="preserve"> </v>
      </c>
      <c r="C48" s="220"/>
      <c r="D48" s="24" t="str">
        <f t="shared" si="7"/>
        <v>-</v>
      </c>
      <c r="E48" s="230"/>
      <c r="F48" s="216"/>
      <c r="G48" s="230"/>
      <c r="H48" s="216"/>
      <c r="I48" s="228" t="str">
        <f t="shared" si="8"/>
        <v xml:space="preserve"> </v>
      </c>
      <c r="J48" s="220"/>
      <c r="K48" s="129">
        <f t="shared" si="9"/>
        <v>0</v>
      </c>
      <c r="L48" s="26">
        <f t="shared" si="10"/>
        <v>1.5</v>
      </c>
      <c r="M48" s="228" t="str">
        <f t="shared" si="11"/>
        <v xml:space="preserve"> </v>
      </c>
      <c r="N48" s="223"/>
      <c r="O48" s="220"/>
      <c r="P48" s="27" t="str">
        <f t="shared" si="12"/>
        <v xml:space="preserve"> </v>
      </c>
      <c r="Q48" s="1"/>
      <c r="R48" s="1"/>
      <c r="S48" s="1"/>
      <c r="T48" s="1"/>
      <c r="U48" s="1"/>
      <c r="V48" s="1"/>
      <c r="W48" s="1"/>
      <c r="X48" s="1"/>
      <c r="Y48" s="1"/>
      <c r="Z48" s="1"/>
    </row>
    <row r="49" spans="1:26" ht="12" customHeight="1">
      <c r="A49" s="24" t="str">
        <f>IF($D$10=0,"-",$D$9/$D$10)</f>
        <v>-</v>
      </c>
      <c r="B49" s="306" t="str">
        <f t="shared" si="13"/>
        <v xml:space="preserve"> </v>
      </c>
      <c r="C49" s="220"/>
      <c r="D49" s="24" t="str">
        <f t="shared" si="7"/>
        <v>-</v>
      </c>
      <c r="E49" s="230"/>
      <c r="F49" s="216"/>
      <c r="G49" s="230"/>
      <c r="H49" s="216"/>
      <c r="I49" s="228" t="str">
        <f t="shared" si="8"/>
        <v xml:space="preserve"> </v>
      </c>
      <c r="J49" s="220"/>
      <c r="K49" s="129">
        <f t="shared" si="9"/>
        <v>0</v>
      </c>
      <c r="L49" s="26">
        <f t="shared" si="10"/>
        <v>1.5</v>
      </c>
      <c r="M49" s="228" t="str">
        <f t="shared" si="11"/>
        <v xml:space="preserve"> </v>
      </c>
      <c r="N49" s="223"/>
      <c r="O49" s="220"/>
      <c r="P49" s="27" t="str">
        <f t="shared" si="12"/>
        <v xml:space="preserve"> </v>
      </c>
      <c r="Q49" s="1"/>
      <c r="R49" s="1"/>
      <c r="S49" s="1"/>
      <c r="T49" s="1"/>
      <c r="U49" s="1"/>
      <c r="V49" s="1"/>
      <c r="W49" s="1"/>
      <c r="X49" s="1"/>
      <c r="Y49" s="1"/>
      <c r="Z49" s="1"/>
    </row>
    <row r="50" spans="1:26" ht="12" customHeight="1">
      <c r="A50" s="24" t="str">
        <f>IF($D$10=0,"-",IF($D$9/$D$10=500,300,IF($D$9/$D$10&lt;=1000,500,IF($D$9/$D$10&lt;=2000,1000,2000))))</f>
        <v>-</v>
      </c>
      <c r="B50" s="306" t="str">
        <f t="shared" si="13"/>
        <v xml:space="preserve"> </v>
      </c>
      <c r="C50" s="220"/>
      <c r="D50" s="24" t="str">
        <f t="shared" si="7"/>
        <v>-</v>
      </c>
      <c r="E50" s="228">
        <f>E48</f>
        <v>0</v>
      </c>
      <c r="F50" s="220"/>
      <c r="G50" s="230"/>
      <c r="H50" s="216"/>
      <c r="I50" s="228" t="str">
        <f t="shared" si="8"/>
        <v xml:space="preserve"> </v>
      </c>
      <c r="J50" s="220"/>
      <c r="K50" s="129">
        <f t="shared" si="9"/>
        <v>0</v>
      </c>
      <c r="L50" s="26">
        <f t="shared" si="10"/>
        <v>1.5</v>
      </c>
      <c r="M50" s="228" t="str">
        <f t="shared" si="11"/>
        <v xml:space="preserve"> </v>
      </c>
      <c r="N50" s="223"/>
      <c r="O50" s="220"/>
      <c r="P50" s="27" t="str">
        <f t="shared" si="12"/>
        <v xml:space="preserve"> </v>
      </c>
      <c r="Q50" s="1"/>
      <c r="R50" s="1"/>
      <c r="S50" s="1"/>
      <c r="T50" s="1"/>
      <c r="U50" s="1"/>
      <c r="V50" s="1"/>
      <c r="W50" s="1"/>
      <c r="X50" s="1"/>
      <c r="Y50" s="1"/>
      <c r="Z50" s="1"/>
    </row>
    <row r="51" spans="1:26" ht="12" customHeight="1">
      <c r="A51" s="24" t="str">
        <f>IF($D$10=0,"-",IF($D$9/$D$10=500,200,IF($D$9/$D$10&lt;=1000,200,IF($D$9/$D$10&lt;=2000,500,1000))))</f>
        <v>-</v>
      </c>
      <c r="B51" s="306" t="str">
        <f t="shared" si="13"/>
        <v xml:space="preserve"> </v>
      </c>
      <c r="C51" s="220"/>
      <c r="D51" s="24" t="str">
        <f t="shared" si="7"/>
        <v>-</v>
      </c>
      <c r="E51" s="228">
        <f>E47</f>
        <v>0</v>
      </c>
      <c r="F51" s="220"/>
      <c r="G51" s="230"/>
      <c r="H51" s="216"/>
      <c r="I51" s="228" t="str">
        <f t="shared" si="8"/>
        <v xml:space="preserve"> </v>
      </c>
      <c r="J51" s="220"/>
      <c r="K51" s="129">
        <f t="shared" si="9"/>
        <v>0</v>
      </c>
      <c r="L51" s="26">
        <f t="shared" si="10"/>
        <v>1.5</v>
      </c>
      <c r="M51" s="228" t="str">
        <f t="shared" si="11"/>
        <v xml:space="preserve"> </v>
      </c>
      <c r="N51" s="223"/>
      <c r="O51" s="220"/>
      <c r="P51" s="27" t="str">
        <f t="shared" si="12"/>
        <v xml:space="preserve"> </v>
      </c>
      <c r="Q51" s="1"/>
      <c r="R51" s="1"/>
      <c r="S51" s="1"/>
      <c r="T51" s="1"/>
      <c r="U51" s="1"/>
      <c r="V51" s="1"/>
      <c r="W51" s="1"/>
      <c r="X51" s="1"/>
      <c r="Y51" s="1"/>
      <c r="Z51" s="1"/>
    </row>
    <row r="52" spans="1:26" ht="12" customHeight="1">
      <c r="A52" s="24" t="str">
        <f>IF($D$10=0,"-",IF($D$9/$D$10=500,100,IF($D$9/$D$10&lt;=1000,100,IF($D$9/$D$10&lt;=2000,200,500))))</f>
        <v>-</v>
      </c>
      <c r="B52" s="306" t="str">
        <f t="shared" si="13"/>
        <v xml:space="preserve"> </v>
      </c>
      <c r="C52" s="220"/>
      <c r="D52" s="24" t="str">
        <f t="shared" si="7"/>
        <v>-</v>
      </c>
      <c r="E52" s="228">
        <f>E46</f>
        <v>0</v>
      </c>
      <c r="F52" s="220"/>
      <c r="G52" s="230"/>
      <c r="H52" s="216"/>
      <c r="I52" s="228" t="str">
        <f t="shared" si="8"/>
        <v xml:space="preserve"> </v>
      </c>
      <c r="J52" s="220"/>
      <c r="K52" s="129">
        <f t="shared" si="9"/>
        <v>0</v>
      </c>
      <c r="L52" s="26">
        <f t="shared" si="10"/>
        <v>1.5</v>
      </c>
      <c r="M52" s="228" t="str">
        <f t="shared" si="11"/>
        <v xml:space="preserve"> </v>
      </c>
      <c r="N52" s="223"/>
      <c r="O52" s="220"/>
      <c r="P52" s="27" t="str">
        <f t="shared" si="12"/>
        <v xml:space="preserve"> </v>
      </c>
      <c r="Q52" s="1"/>
      <c r="R52" s="1"/>
      <c r="S52" s="1"/>
      <c r="T52" s="1"/>
      <c r="U52" s="1"/>
      <c r="V52" s="1"/>
      <c r="W52" s="1"/>
      <c r="X52" s="1"/>
      <c r="Y52" s="1"/>
      <c r="Z52" s="1"/>
    </row>
    <row r="53" spans="1:26" ht="12" customHeight="1">
      <c r="A53" s="24">
        <v>20</v>
      </c>
      <c r="B53" s="306">
        <f>A53*$D$10</f>
        <v>0</v>
      </c>
      <c r="C53" s="220"/>
      <c r="D53" s="24" t="str">
        <f t="shared" si="7"/>
        <v>-</v>
      </c>
      <c r="E53" s="228">
        <f>E45</f>
        <v>0</v>
      </c>
      <c r="F53" s="220"/>
      <c r="G53" s="230"/>
      <c r="H53" s="216"/>
      <c r="I53" s="228" t="str">
        <f t="shared" si="8"/>
        <v xml:space="preserve"> </v>
      </c>
      <c r="J53" s="220"/>
      <c r="K53" s="129">
        <f t="shared" si="9"/>
        <v>0</v>
      </c>
      <c r="L53" s="26">
        <f t="shared" si="10"/>
        <v>1.5</v>
      </c>
      <c r="M53" s="228" t="str">
        <f t="shared" si="11"/>
        <v xml:space="preserve"> </v>
      </c>
      <c r="N53" s="223"/>
      <c r="O53" s="220"/>
      <c r="P53" s="27" t="str">
        <f t="shared" si="12"/>
        <v xml:space="preserve"> </v>
      </c>
      <c r="Q53" s="1"/>
      <c r="R53" s="1"/>
      <c r="S53" s="1"/>
      <c r="T53" s="1"/>
      <c r="U53" s="1"/>
      <c r="V53" s="1"/>
      <c r="W53" s="1"/>
      <c r="X53" s="1"/>
      <c r="Y53" s="1"/>
      <c r="Z53" s="1"/>
    </row>
    <row r="54" spans="1:26" ht="12" customHeight="1">
      <c r="A54" s="28"/>
      <c r="B54" s="31"/>
      <c r="C54" s="32"/>
      <c r="D54" s="1"/>
      <c r="E54" s="1"/>
      <c r="F54" s="1"/>
      <c r="G54" s="1"/>
      <c r="H54" s="1"/>
      <c r="I54" s="1"/>
      <c r="J54" s="1"/>
      <c r="K54" s="93"/>
      <c r="L54" s="93"/>
      <c r="M54" s="1"/>
      <c r="N54" s="1"/>
      <c r="O54" s="3" t="str">
        <f>IF($D$13="English","Test passed?","Test bestanden?")</f>
        <v>Test passed?</v>
      </c>
      <c r="P54" s="27" t="str">
        <f>IF(AND(P45="Y",P46= "Y", P47="Y",P48="Y",P49="Y",P50="Y",P51="Y",P52="Y",P53="Y"),"Y","N")</f>
        <v>N</v>
      </c>
      <c r="Q54" s="1"/>
      <c r="R54" s="1"/>
      <c r="S54" s="1"/>
      <c r="T54" s="1"/>
      <c r="U54" s="1"/>
      <c r="V54" s="1"/>
      <c r="W54" s="1"/>
      <c r="X54" s="1"/>
      <c r="Y54" s="1"/>
      <c r="Z54" s="1"/>
    </row>
    <row r="55" spans="1:26" ht="12" customHeight="1">
      <c r="A55" s="48"/>
      <c r="B55" s="31"/>
      <c r="C55" s="32"/>
      <c r="D55" s="1"/>
      <c r="E55" s="1"/>
      <c r="F55" s="1"/>
      <c r="G55" s="1"/>
      <c r="H55" s="1"/>
      <c r="I55" s="1"/>
      <c r="J55" s="1"/>
      <c r="M55" s="1"/>
      <c r="N55" s="1"/>
      <c r="O55" s="6"/>
      <c r="P55" s="125"/>
      <c r="Q55" s="1"/>
      <c r="R55" s="1"/>
      <c r="S55" s="1"/>
      <c r="T55" s="1"/>
      <c r="U55" s="1"/>
      <c r="V55" s="1"/>
      <c r="W55" s="1"/>
      <c r="X55" s="1"/>
      <c r="Y55" s="1"/>
      <c r="Z55" s="1"/>
    </row>
    <row r="56" spans="1:26" ht="12" customHeight="1">
      <c r="A56" s="257" t="str">
        <f>IF($D$13="English","If the maximum calculated error in Weighing Test is less or equal to 0,5e, no additional Tare Test has to be performed. ","Wenn der kalkulierte maximale Fehler im Linearitätstest kleiner oder gleich 0,5e ist, muss kein zusätzlich Tara Test durchgeführt werden. ")</f>
        <v xml:space="preserve">If the maximum calculated error in Weighing Test is less or equal to 0,5e, no additional Tare Test has to be performed. </v>
      </c>
      <c r="B56" s="237"/>
      <c r="C56" s="237"/>
      <c r="D56" s="237"/>
      <c r="E56" s="237"/>
      <c r="F56" s="237"/>
      <c r="G56" s="237"/>
      <c r="H56" s="237"/>
      <c r="I56" s="237"/>
      <c r="J56" s="237"/>
      <c r="K56" s="237"/>
      <c r="L56" s="237"/>
      <c r="M56" s="237"/>
      <c r="N56" s="237"/>
      <c r="O56" s="237"/>
      <c r="P56" s="237"/>
      <c r="Q56" s="1"/>
      <c r="R56" s="1"/>
      <c r="S56" s="1"/>
      <c r="T56" s="1"/>
      <c r="U56" s="1"/>
      <c r="V56" s="1"/>
      <c r="W56" s="1"/>
      <c r="X56" s="1"/>
      <c r="Y56" s="1"/>
      <c r="Z56" s="1"/>
    </row>
    <row r="57" spans="1:26" ht="12" customHeight="1">
      <c r="A57" s="237"/>
      <c r="B57" s="237"/>
      <c r="C57" s="237"/>
      <c r="D57" s="237"/>
      <c r="E57" s="237"/>
      <c r="F57" s="237"/>
      <c r="G57" s="237"/>
      <c r="H57" s="237"/>
      <c r="I57" s="237"/>
      <c r="J57" s="237"/>
      <c r="K57" s="237"/>
      <c r="L57" s="237"/>
      <c r="M57" s="237"/>
      <c r="N57" s="237"/>
      <c r="O57" s="237"/>
      <c r="P57" s="237"/>
      <c r="Q57" s="1"/>
      <c r="R57" s="1"/>
      <c r="S57" s="1"/>
      <c r="T57" s="1"/>
      <c r="U57" s="1"/>
      <c r="V57" s="1"/>
      <c r="W57" s="1"/>
      <c r="X57" s="1"/>
      <c r="Y57" s="1"/>
      <c r="Z57" s="1"/>
    </row>
    <row r="58" spans="1:26" ht="12" customHeight="1">
      <c r="A58" s="48" t="str">
        <f>IF($D$13="English","Does Test 5 have to be performed? ","Muss Test 5 durchgeführt werden? ")</f>
        <v xml:space="preserve">Does Test 5 have to be performed? </v>
      </c>
      <c r="B58" s="39"/>
      <c r="C58" s="39"/>
      <c r="D58" s="39"/>
      <c r="E58" s="39"/>
      <c r="F58" s="27" t="e">
        <f>IF(AND(ABS(M45)&lt;=0.5*$D$10,ABS(M46)&lt;=0.5*$D$10,ABS(M47)&lt;=0.5*$D$10,ABS(M48)&lt;=0.5*$D$10,ABS(M49)&lt;=0.5*$D$10,ABS(M50)&lt;=0.5*$D$10,ABS(M51)&lt;=0.5*$D$10,ABS(M52)&lt;=0.5*$D$10,ABS(M53)&lt;=0.5*$D$10),"N","Y")</f>
        <v>#VALUE!</v>
      </c>
      <c r="G58" s="39"/>
      <c r="H58" s="39"/>
      <c r="I58" s="39"/>
      <c r="J58" s="39"/>
      <c r="K58" s="39"/>
      <c r="L58" s="39"/>
      <c r="M58" s="39"/>
      <c r="N58" s="39"/>
      <c r="O58" s="39"/>
      <c r="P58" s="39"/>
      <c r="Q58" s="1"/>
      <c r="R58" s="1"/>
      <c r="S58" s="1"/>
      <c r="T58" s="1"/>
      <c r="U58" s="1"/>
      <c r="V58" s="1"/>
      <c r="W58" s="1"/>
      <c r="X58" s="1"/>
      <c r="Y58" s="1"/>
      <c r="Z58" s="1"/>
    </row>
    <row r="59" spans="1:26" ht="12" customHeight="1">
      <c r="A59" s="48"/>
      <c r="B59" s="39"/>
      <c r="C59" s="39"/>
      <c r="D59" s="39"/>
      <c r="E59" s="39"/>
      <c r="F59" s="140"/>
      <c r="G59" s="39"/>
      <c r="H59" s="39"/>
      <c r="I59" s="39"/>
      <c r="J59" s="39"/>
      <c r="K59" s="39"/>
      <c r="L59" s="39"/>
      <c r="M59" s="39"/>
      <c r="N59" s="39"/>
      <c r="O59" s="39"/>
      <c r="P59" s="39"/>
      <c r="Q59" s="1"/>
      <c r="R59" s="1"/>
      <c r="S59" s="1"/>
      <c r="T59" s="1"/>
      <c r="U59" s="1"/>
      <c r="V59" s="1"/>
      <c r="W59" s="1"/>
      <c r="X59" s="1"/>
      <c r="Y59" s="1"/>
      <c r="Z59" s="1"/>
    </row>
    <row r="60" spans="1:26" ht="12" customHeight="1">
      <c r="A60" s="48"/>
      <c r="B60" s="39"/>
      <c r="C60" s="39"/>
      <c r="D60" s="39"/>
      <c r="E60" s="39"/>
      <c r="F60" s="140"/>
      <c r="G60" s="39"/>
      <c r="H60" s="39"/>
      <c r="I60" s="39"/>
      <c r="J60" s="39"/>
      <c r="K60" s="39"/>
      <c r="L60" s="39"/>
      <c r="M60" s="39"/>
      <c r="N60" s="39"/>
      <c r="O60" s="39"/>
      <c r="P60" s="39"/>
      <c r="Q60" s="1"/>
      <c r="R60" s="1"/>
      <c r="S60" s="1"/>
      <c r="T60" s="1"/>
      <c r="U60" s="1"/>
      <c r="V60" s="1"/>
      <c r="W60" s="1"/>
      <c r="X60" s="1"/>
      <c r="Y60" s="1"/>
      <c r="Z60" s="1"/>
    </row>
    <row r="61" spans="1:26" ht="12" customHeight="1">
      <c r="A61" s="48"/>
      <c r="B61" s="39"/>
      <c r="C61" s="39"/>
      <c r="D61" s="39"/>
      <c r="E61" s="39"/>
      <c r="F61" s="140"/>
      <c r="G61" s="39"/>
      <c r="H61" s="39"/>
      <c r="I61" s="39"/>
      <c r="J61" s="39"/>
      <c r="K61" s="39"/>
      <c r="L61" s="39"/>
      <c r="M61" s="39"/>
      <c r="N61" s="39"/>
      <c r="O61" s="39"/>
      <c r="P61" s="39"/>
      <c r="Q61" s="1"/>
      <c r="R61" s="1"/>
      <c r="S61" s="1"/>
      <c r="T61" s="1"/>
      <c r="U61" s="1"/>
      <c r="V61" s="1"/>
      <c r="W61" s="1"/>
      <c r="X61" s="1"/>
      <c r="Y61" s="1"/>
      <c r="Z61" s="1"/>
    </row>
    <row r="62" spans="1:26" ht="12" customHeight="1">
      <c r="A62" s="48"/>
      <c r="B62" s="39"/>
      <c r="C62" s="39"/>
      <c r="D62" s="39"/>
      <c r="E62" s="39"/>
      <c r="F62" s="140"/>
      <c r="G62" s="39"/>
      <c r="H62" s="39"/>
      <c r="I62" s="39"/>
      <c r="J62" s="39"/>
      <c r="K62" s="39"/>
      <c r="L62" s="39"/>
      <c r="M62" s="39"/>
      <c r="N62" s="39"/>
      <c r="O62" s="39"/>
      <c r="P62" s="39"/>
      <c r="Q62" s="1"/>
      <c r="R62" s="1"/>
      <c r="S62" s="1"/>
      <c r="T62" s="1"/>
      <c r="U62" s="1"/>
      <c r="V62" s="1"/>
      <c r="W62" s="1"/>
      <c r="X62" s="1"/>
      <c r="Y62" s="1"/>
      <c r="Z62" s="1"/>
    </row>
    <row r="63" spans="1:26" ht="12" customHeight="1">
      <c r="A63" s="39"/>
      <c r="B63" s="39"/>
      <c r="C63" s="39"/>
      <c r="D63" s="39"/>
      <c r="E63" s="39"/>
      <c r="F63" s="39"/>
      <c r="G63" s="39"/>
      <c r="H63" s="39"/>
      <c r="I63" s="39"/>
      <c r="J63" s="39"/>
      <c r="K63" s="39"/>
      <c r="L63" s="39"/>
      <c r="M63" s="39"/>
      <c r="N63" s="39"/>
      <c r="O63" s="39"/>
      <c r="P63" s="39"/>
      <c r="Q63" s="1"/>
      <c r="R63" s="1"/>
      <c r="S63" s="1"/>
      <c r="T63" s="1"/>
      <c r="U63" s="1"/>
      <c r="V63" s="1"/>
      <c r="W63" s="1"/>
      <c r="X63" s="1"/>
      <c r="Y63" s="1"/>
      <c r="Z63" s="1"/>
    </row>
    <row r="64" spans="1:26" ht="12" customHeight="1">
      <c r="A64" s="7" t="str">
        <f>IF($D$13="English","5.  Tare (Weighing Test) - Indicator in hi-res mode:","5. Tara (Richtigkeitsprüfung) - Indikator in Hi-Res-Modus:")</f>
        <v>5.  Tare (Weighing Test) - Indicator in hi-res mode:</v>
      </c>
      <c r="B64" s="50"/>
      <c r="C64" s="50"/>
      <c r="D64" s="50"/>
      <c r="E64" s="50"/>
      <c r="F64" s="50"/>
      <c r="G64" s="50"/>
      <c r="H64" s="50"/>
      <c r="I64" s="1" t="str">
        <f>IF($D$13="English","accordance to EN45501-2015, A.4.6.1","gemäß EN45501-2015, A.4.6.1")</f>
        <v>accordance to EN45501-2015, A.4.6.1</v>
      </c>
      <c r="J64" s="50"/>
      <c r="K64" s="50"/>
      <c r="L64" s="50"/>
      <c r="M64" s="50"/>
      <c r="N64" s="50"/>
      <c r="O64" s="50"/>
      <c r="P64" s="50"/>
      <c r="Q64" s="1"/>
      <c r="R64" s="1"/>
      <c r="S64" s="1"/>
      <c r="T64" s="1"/>
      <c r="U64" s="1"/>
      <c r="V64" s="1"/>
      <c r="W64" s="1"/>
      <c r="X64" s="1"/>
      <c r="Y64" s="1"/>
      <c r="Z64" s="1"/>
    </row>
    <row r="65" spans="1:26" ht="12" customHeight="1">
      <c r="A65" s="258" t="str">
        <f>IF($D$13="English","Tare a load between 1/3 Max and 2/3 Max and test up to Max.at 5 load points. Please test at the loads where mpe changes.","Last zwischen 1/3 und 2/3 Max tarieren und bis zur Maximallast bei 5 Lastpunkten prüfen. Bei den Lasten, bei denen sich mpe ändert, muss geprüft werden. ")</f>
        <v>Tare a load between 1/3 Max and 2/3 Max and test up to Max.at 5 load points. Please test at the loads where mpe changes.</v>
      </c>
      <c r="B65" s="237"/>
      <c r="C65" s="237"/>
      <c r="D65" s="237"/>
      <c r="E65" s="237"/>
      <c r="F65" s="237"/>
      <c r="G65" s="237"/>
      <c r="H65" s="237"/>
      <c r="I65" s="237"/>
      <c r="J65" s="237"/>
      <c r="K65" s="237"/>
      <c r="L65" s="237"/>
      <c r="M65" s="237"/>
      <c r="N65" s="237"/>
      <c r="O65" s="237"/>
      <c r="P65" s="237"/>
      <c r="Q65" s="1"/>
      <c r="R65" s="1"/>
      <c r="S65" s="1"/>
      <c r="T65" s="1"/>
      <c r="U65" s="1"/>
      <c r="V65" s="1"/>
      <c r="W65" s="1"/>
      <c r="X65" s="1"/>
      <c r="Y65" s="1"/>
      <c r="Z65" s="1"/>
    </row>
    <row r="66" spans="1:26" ht="12" customHeight="1">
      <c r="A66" s="237"/>
      <c r="B66" s="237"/>
      <c r="C66" s="237"/>
      <c r="D66" s="237"/>
      <c r="E66" s="237"/>
      <c r="F66" s="237"/>
      <c r="G66" s="237"/>
      <c r="H66" s="237"/>
      <c r="I66" s="237"/>
      <c r="J66" s="237"/>
      <c r="K66" s="237"/>
      <c r="L66" s="237"/>
      <c r="M66" s="237"/>
      <c r="N66" s="237"/>
      <c r="O66" s="237"/>
      <c r="P66" s="237"/>
      <c r="Q66" s="1"/>
      <c r="R66" s="1"/>
      <c r="S66" s="1"/>
      <c r="T66" s="1"/>
      <c r="U66" s="1"/>
      <c r="V66" s="1"/>
      <c r="W66" s="1"/>
      <c r="X66" s="1"/>
      <c r="Y66" s="1"/>
      <c r="Z66" s="1"/>
    </row>
    <row r="67" spans="1:26" ht="12" customHeight="1">
      <c r="A67" s="7" t="str">
        <f>IF($D$13="English","Tared load:","Tarierte Last:")</f>
        <v>Tared load:</v>
      </c>
      <c r="B67" s="31"/>
      <c r="C67" s="217"/>
      <c r="D67" s="216"/>
      <c r="E67" s="1" t="s">
        <v>33</v>
      </c>
      <c r="F67" s="1"/>
      <c r="G67" s="6"/>
      <c r="H67" s="1"/>
      <c r="J67" s="17"/>
      <c r="K67" s="1"/>
      <c r="L67" s="1"/>
      <c r="M67" s="1"/>
      <c r="N67" s="1"/>
      <c r="O67" s="1"/>
      <c r="P67" s="1"/>
      <c r="Q67" s="1"/>
      <c r="R67" s="1"/>
      <c r="S67" s="1"/>
      <c r="T67" s="1"/>
      <c r="U67" s="1"/>
      <c r="V67" s="1"/>
      <c r="W67" s="1"/>
      <c r="X67" s="1"/>
      <c r="Y67" s="1"/>
      <c r="Z67" s="1"/>
    </row>
    <row r="68" spans="1:26" ht="12" customHeight="1">
      <c r="A68" s="231" t="s">
        <v>26</v>
      </c>
      <c r="B68" s="223"/>
      <c r="C68" s="220"/>
      <c r="D68" s="19" t="s">
        <v>72</v>
      </c>
      <c r="E68" s="231" t="s">
        <v>27</v>
      </c>
      <c r="F68" s="220"/>
      <c r="G68" s="231" t="s">
        <v>73</v>
      </c>
      <c r="H68" s="220"/>
      <c r="I68" s="18" t="s">
        <v>29</v>
      </c>
      <c r="J68" s="21"/>
      <c r="K68" s="232" t="s">
        <v>122</v>
      </c>
      <c r="L68" s="223"/>
      <c r="M68" s="220"/>
      <c r="N68" s="19" t="s">
        <v>30</v>
      </c>
      <c r="O68" s="1"/>
      <c r="P68" s="1"/>
      <c r="Q68" s="1"/>
      <c r="R68" s="1"/>
      <c r="S68" s="1"/>
      <c r="T68" s="1"/>
      <c r="U68" s="1"/>
      <c r="V68" s="1"/>
      <c r="W68" s="1"/>
      <c r="X68" s="1"/>
      <c r="Y68" s="1"/>
      <c r="Z68" s="1"/>
    </row>
    <row r="69" spans="1:26" ht="12" customHeight="1">
      <c r="A69" s="259" t="s">
        <v>33</v>
      </c>
      <c r="B69" s="223"/>
      <c r="C69" s="220"/>
      <c r="D69" s="51"/>
      <c r="E69" s="231" t="s">
        <v>33</v>
      </c>
      <c r="F69" s="220"/>
      <c r="G69" s="256" t="s">
        <v>33</v>
      </c>
      <c r="H69" s="220"/>
      <c r="I69" s="52" t="s">
        <v>33</v>
      </c>
      <c r="J69" s="52" t="s">
        <v>32</v>
      </c>
      <c r="K69" s="231" t="s">
        <v>33</v>
      </c>
      <c r="L69" s="223"/>
      <c r="M69" s="223"/>
      <c r="N69" s="19" t="s">
        <v>34</v>
      </c>
      <c r="O69" s="1"/>
      <c r="P69" s="1"/>
      <c r="Q69" s="1"/>
      <c r="R69" s="1"/>
      <c r="S69" s="1"/>
      <c r="T69" s="1"/>
      <c r="U69" s="1"/>
      <c r="V69" s="1"/>
      <c r="W69" s="1"/>
      <c r="X69" s="1"/>
      <c r="Y69" s="1"/>
      <c r="Z69" s="1"/>
    </row>
    <row r="70" spans="1:26" ht="12" customHeight="1">
      <c r="A70" s="217"/>
      <c r="B70" s="215"/>
      <c r="C70" s="216"/>
      <c r="D70" s="51" t="str">
        <f t="shared" ref="D70:D78" si="14">IF($D$10=0," ",A70/$D$10)</f>
        <v xml:space="preserve"> </v>
      </c>
      <c r="E70" s="217"/>
      <c r="F70" s="216"/>
      <c r="G70" s="359" t="str">
        <f t="shared" ref="G70:G78" si="15">IF($A70=0," ",IF($D$10=0," ",E70-A70))</f>
        <v xml:space="preserve"> </v>
      </c>
      <c r="H70" s="220"/>
      <c r="I70" s="71" t="str">
        <f t="shared" ref="I70:I78" si="16">IF($D$9=0," ",J70*$D$10)</f>
        <v xml:space="preserve"> </v>
      </c>
      <c r="J70" s="26">
        <f t="shared" ref="J70:J78" si="17">IF(D70=0,0,IF(D70&lt;=500,0.5,(IF(D70&lt;=2000,1,IF(D70&gt;2000,1.5," ")))))</f>
        <v>1.5</v>
      </c>
      <c r="K70" s="228" t="str">
        <f t="shared" ref="K70:K78" si="18">IF(E70=0," ",IF($E$38=" "," ",ROUND(G70-$E$38,3)))</f>
        <v xml:space="preserve"> </v>
      </c>
      <c r="L70" s="223"/>
      <c r="M70" s="220"/>
      <c r="N70" s="27" t="str">
        <f t="shared" ref="N70:N78" si="19">IF(K70=" "," ",IF(ABS(K70)&lt;=I70,"Y","N"))</f>
        <v xml:space="preserve"> </v>
      </c>
      <c r="O70" s="1"/>
      <c r="P70" s="1"/>
      <c r="Q70" s="1"/>
      <c r="R70" s="1"/>
      <c r="S70" s="1"/>
      <c r="T70" s="1"/>
      <c r="U70" s="1"/>
      <c r="V70" s="1"/>
      <c r="W70" s="1"/>
      <c r="X70" s="1"/>
      <c r="Y70" s="1"/>
      <c r="Z70" s="1"/>
    </row>
    <row r="71" spans="1:26" ht="12" customHeight="1">
      <c r="A71" s="217"/>
      <c r="B71" s="215"/>
      <c r="C71" s="216"/>
      <c r="D71" s="51" t="str">
        <f t="shared" si="14"/>
        <v xml:space="preserve"> </v>
      </c>
      <c r="E71" s="217"/>
      <c r="F71" s="216"/>
      <c r="G71" s="359" t="str">
        <f t="shared" si="15"/>
        <v xml:space="preserve"> </v>
      </c>
      <c r="H71" s="220"/>
      <c r="I71" s="71" t="str">
        <f t="shared" si="16"/>
        <v xml:space="preserve"> </v>
      </c>
      <c r="J71" s="26">
        <f t="shared" si="17"/>
        <v>1.5</v>
      </c>
      <c r="K71" s="228" t="str">
        <f t="shared" si="18"/>
        <v xml:space="preserve"> </v>
      </c>
      <c r="L71" s="223"/>
      <c r="M71" s="220"/>
      <c r="N71" s="27" t="str">
        <f t="shared" si="19"/>
        <v xml:space="preserve"> </v>
      </c>
      <c r="O71" s="1"/>
      <c r="P71" s="1"/>
      <c r="Q71" s="1"/>
      <c r="R71" s="1"/>
      <c r="S71" s="1"/>
      <c r="T71" s="1"/>
      <c r="U71" s="1"/>
      <c r="V71" s="1"/>
      <c r="W71" s="1"/>
      <c r="X71" s="1"/>
      <c r="Y71" s="1"/>
      <c r="Z71" s="1"/>
    </row>
    <row r="72" spans="1:26" ht="12" customHeight="1">
      <c r="A72" s="217"/>
      <c r="B72" s="215"/>
      <c r="C72" s="216"/>
      <c r="D72" s="51" t="str">
        <f t="shared" si="14"/>
        <v xml:space="preserve"> </v>
      </c>
      <c r="E72" s="217"/>
      <c r="F72" s="216"/>
      <c r="G72" s="359" t="str">
        <f t="shared" si="15"/>
        <v xml:space="preserve"> </v>
      </c>
      <c r="H72" s="220"/>
      <c r="I72" s="71" t="str">
        <f t="shared" si="16"/>
        <v xml:space="preserve"> </v>
      </c>
      <c r="J72" s="26">
        <f t="shared" si="17"/>
        <v>1.5</v>
      </c>
      <c r="K72" s="228" t="str">
        <f t="shared" si="18"/>
        <v xml:space="preserve"> </v>
      </c>
      <c r="L72" s="223"/>
      <c r="M72" s="220"/>
      <c r="N72" s="27" t="str">
        <f t="shared" si="19"/>
        <v xml:space="preserve"> </v>
      </c>
      <c r="O72" s="1"/>
      <c r="P72" s="1"/>
      <c r="Q72" s="1"/>
      <c r="R72" s="1"/>
      <c r="S72" s="1"/>
      <c r="T72" s="1"/>
      <c r="U72" s="1"/>
      <c r="V72" s="1"/>
      <c r="W72" s="1"/>
      <c r="X72" s="1"/>
      <c r="Y72" s="1"/>
      <c r="Z72" s="1"/>
    </row>
    <row r="73" spans="1:26" ht="12" customHeight="1">
      <c r="A73" s="217"/>
      <c r="B73" s="215"/>
      <c r="C73" s="216"/>
      <c r="D73" s="51" t="str">
        <f t="shared" si="14"/>
        <v xml:space="preserve"> </v>
      </c>
      <c r="E73" s="217"/>
      <c r="F73" s="216"/>
      <c r="G73" s="359" t="str">
        <f t="shared" si="15"/>
        <v xml:space="preserve"> </v>
      </c>
      <c r="H73" s="220"/>
      <c r="I73" s="71" t="str">
        <f t="shared" si="16"/>
        <v xml:space="preserve"> </v>
      </c>
      <c r="J73" s="26">
        <f t="shared" si="17"/>
        <v>1.5</v>
      </c>
      <c r="K73" s="228" t="str">
        <f t="shared" si="18"/>
        <v xml:space="preserve"> </v>
      </c>
      <c r="L73" s="223"/>
      <c r="M73" s="220"/>
      <c r="N73" s="27" t="str">
        <f t="shared" si="19"/>
        <v xml:space="preserve"> </v>
      </c>
      <c r="O73" s="1"/>
      <c r="P73" s="1"/>
      <c r="Q73" s="1"/>
      <c r="R73" s="1"/>
      <c r="S73" s="1"/>
      <c r="T73" s="1"/>
      <c r="U73" s="1"/>
      <c r="V73" s="1"/>
      <c r="W73" s="1"/>
      <c r="X73" s="1"/>
      <c r="Y73" s="1"/>
      <c r="Z73" s="1"/>
    </row>
    <row r="74" spans="1:26" ht="12" customHeight="1">
      <c r="A74" s="217"/>
      <c r="B74" s="215"/>
      <c r="C74" s="216"/>
      <c r="D74" s="51" t="str">
        <f t="shared" si="14"/>
        <v xml:space="preserve"> </v>
      </c>
      <c r="E74" s="217"/>
      <c r="F74" s="216"/>
      <c r="G74" s="359" t="str">
        <f t="shared" si="15"/>
        <v xml:space="preserve"> </v>
      </c>
      <c r="H74" s="220"/>
      <c r="I74" s="71" t="str">
        <f t="shared" si="16"/>
        <v xml:space="preserve"> </v>
      </c>
      <c r="J74" s="26">
        <f t="shared" si="17"/>
        <v>1.5</v>
      </c>
      <c r="K74" s="228" t="str">
        <f t="shared" si="18"/>
        <v xml:space="preserve"> </v>
      </c>
      <c r="L74" s="223"/>
      <c r="M74" s="220"/>
      <c r="N74" s="27" t="str">
        <f t="shared" si="19"/>
        <v xml:space="preserve"> </v>
      </c>
      <c r="O74" s="1"/>
      <c r="P74" s="1"/>
      <c r="Q74" s="1"/>
      <c r="R74" s="1"/>
      <c r="S74" s="1"/>
      <c r="T74" s="1"/>
      <c r="U74" s="1"/>
      <c r="V74" s="1"/>
      <c r="W74" s="1"/>
      <c r="X74" s="1"/>
      <c r="Y74" s="1"/>
      <c r="Z74" s="1"/>
    </row>
    <row r="75" spans="1:26" ht="12" customHeight="1">
      <c r="A75" s="266">
        <f>A73</f>
        <v>0</v>
      </c>
      <c r="B75" s="223"/>
      <c r="C75" s="220"/>
      <c r="D75" s="51" t="str">
        <f t="shared" si="14"/>
        <v xml:space="preserve"> </v>
      </c>
      <c r="E75" s="217"/>
      <c r="F75" s="216"/>
      <c r="G75" s="359" t="str">
        <f t="shared" si="15"/>
        <v xml:space="preserve"> </v>
      </c>
      <c r="H75" s="220"/>
      <c r="I75" s="71" t="str">
        <f t="shared" si="16"/>
        <v xml:space="preserve"> </v>
      </c>
      <c r="J75" s="26">
        <f t="shared" si="17"/>
        <v>1.5</v>
      </c>
      <c r="K75" s="228" t="str">
        <f t="shared" si="18"/>
        <v xml:space="preserve"> </v>
      </c>
      <c r="L75" s="223"/>
      <c r="M75" s="220"/>
      <c r="N75" s="27" t="str">
        <f t="shared" si="19"/>
        <v xml:space="preserve"> </v>
      </c>
      <c r="O75" s="1"/>
      <c r="P75" s="1"/>
      <c r="Q75" s="17"/>
      <c r="R75" s="17"/>
      <c r="S75" s="1"/>
      <c r="T75" s="1"/>
      <c r="U75" s="1"/>
      <c r="V75" s="1"/>
      <c r="W75" s="1"/>
      <c r="X75" s="1"/>
      <c r="Y75" s="1"/>
      <c r="Z75" s="1"/>
    </row>
    <row r="76" spans="1:26" ht="12" customHeight="1">
      <c r="A76" s="266">
        <f>A72</f>
        <v>0</v>
      </c>
      <c r="B76" s="223"/>
      <c r="C76" s="220"/>
      <c r="D76" s="51" t="str">
        <f t="shared" si="14"/>
        <v xml:space="preserve"> </v>
      </c>
      <c r="E76" s="217"/>
      <c r="F76" s="216"/>
      <c r="G76" s="359" t="str">
        <f t="shared" si="15"/>
        <v xml:space="preserve"> </v>
      </c>
      <c r="H76" s="220"/>
      <c r="I76" s="71" t="str">
        <f t="shared" si="16"/>
        <v xml:space="preserve"> </v>
      </c>
      <c r="J76" s="26">
        <f t="shared" si="17"/>
        <v>1.5</v>
      </c>
      <c r="K76" s="228" t="str">
        <f t="shared" si="18"/>
        <v xml:space="preserve"> </v>
      </c>
      <c r="L76" s="223"/>
      <c r="M76" s="220"/>
      <c r="N76" s="27" t="str">
        <f t="shared" si="19"/>
        <v xml:space="preserve"> </v>
      </c>
      <c r="O76" s="1"/>
      <c r="P76" s="1"/>
      <c r="Q76" s="17"/>
      <c r="R76" s="17"/>
      <c r="S76" s="1"/>
      <c r="T76" s="1"/>
      <c r="U76" s="1"/>
      <c r="V76" s="1"/>
      <c r="W76" s="1"/>
      <c r="X76" s="1"/>
      <c r="Y76" s="1"/>
      <c r="Z76" s="1"/>
    </row>
    <row r="77" spans="1:26" ht="12" customHeight="1">
      <c r="A77" s="266">
        <f>A71</f>
        <v>0</v>
      </c>
      <c r="B77" s="223"/>
      <c r="C77" s="220"/>
      <c r="D77" s="51" t="str">
        <f t="shared" si="14"/>
        <v xml:space="preserve"> </v>
      </c>
      <c r="E77" s="217"/>
      <c r="F77" s="216"/>
      <c r="G77" s="359" t="str">
        <f t="shared" si="15"/>
        <v xml:space="preserve"> </v>
      </c>
      <c r="H77" s="220"/>
      <c r="I77" s="71" t="str">
        <f t="shared" si="16"/>
        <v xml:space="preserve"> </v>
      </c>
      <c r="J77" s="26">
        <f t="shared" si="17"/>
        <v>1.5</v>
      </c>
      <c r="K77" s="228" t="str">
        <f t="shared" si="18"/>
        <v xml:space="preserve"> </v>
      </c>
      <c r="L77" s="223"/>
      <c r="M77" s="220"/>
      <c r="N77" s="27" t="str">
        <f t="shared" si="19"/>
        <v xml:space="preserve"> </v>
      </c>
      <c r="O77" s="1"/>
      <c r="P77" s="1"/>
      <c r="Q77" s="17"/>
      <c r="R77" s="17"/>
      <c r="S77" s="1"/>
      <c r="T77" s="1"/>
      <c r="U77" s="1"/>
      <c r="V77" s="1"/>
      <c r="W77" s="1"/>
      <c r="X77" s="1"/>
      <c r="Y77" s="1"/>
      <c r="Z77" s="1"/>
    </row>
    <row r="78" spans="1:26" ht="12" customHeight="1">
      <c r="A78" s="266">
        <f>A70</f>
        <v>0</v>
      </c>
      <c r="B78" s="223"/>
      <c r="C78" s="220"/>
      <c r="D78" s="51" t="str">
        <f t="shared" si="14"/>
        <v xml:space="preserve"> </v>
      </c>
      <c r="E78" s="217"/>
      <c r="F78" s="216"/>
      <c r="G78" s="359" t="str">
        <f t="shared" si="15"/>
        <v xml:space="preserve"> </v>
      </c>
      <c r="H78" s="220"/>
      <c r="I78" s="71" t="str">
        <f t="shared" si="16"/>
        <v xml:space="preserve"> </v>
      </c>
      <c r="J78" s="26">
        <f t="shared" si="17"/>
        <v>1.5</v>
      </c>
      <c r="K78" s="228" t="str">
        <f t="shared" si="18"/>
        <v xml:space="preserve"> </v>
      </c>
      <c r="L78" s="223"/>
      <c r="M78" s="220"/>
      <c r="N78" s="27" t="str">
        <f t="shared" si="19"/>
        <v xml:space="preserve"> </v>
      </c>
      <c r="O78" s="1"/>
      <c r="P78" s="1"/>
      <c r="Q78" s="17"/>
      <c r="R78" s="17"/>
      <c r="S78" s="1"/>
      <c r="T78" s="1"/>
      <c r="U78" s="1"/>
      <c r="V78" s="1"/>
      <c r="W78" s="1"/>
      <c r="X78" s="1"/>
      <c r="Y78" s="1"/>
      <c r="Z78" s="1"/>
    </row>
    <row r="79" spans="1:26" ht="12" customHeight="1">
      <c r="A79" s="1"/>
      <c r="B79" s="53"/>
      <c r="C79" s="40"/>
      <c r="D79" s="1"/>
      <c r="E79" s="1"/>
      <c r="F79" s="1"/>
      <c r="G79" s="31"/>
      <c r="H79" s="31"/>
      <c r="I79" s="1"/>
      <c r="J79" s="1"/>
      <c r="K79" s="1"/>
      <c r="L79" s="54"/>
      <c r="M79" s="6" t="str">
        <f>IF($D$13="English","Test passed?","Test bestanden?")</f>
        <v>Test passed?</v>
      </c>
      <c r="N79" s="27" t="str">
        <f>IF(AND(N70="Y",N71="Y",N72="Y",N73="Y",N74="Y",N75="Y",N76="Y",N77="Y",N78="Y"),"Y","N")</f>
        <v>N</v>
      </c>
      <c r="O79" s="17"/>
      <c r="P79" s="1"/>
      <c r="Q79" s="1"/>
      <c r="R79" s="1"/>
      <c r="S79" s="1"/>
      <c r="T79" s="1"/>
      <c r="U79" s="1"/>
      <c r="V79" s="1"/>
      <c r="W79" s="1"/>
      <c r="X79" s="1"/>
      <c r="Y79" s="1"/>
      <c r="Z79" s="1"/>
    </row>
    <row r="80" spans="1:26" ht="12" customHeight="1">
      <c r="A80" s="47"/>
      <c r="B80" s="50"/>
      <c r="C80" s="50"/>
      <c r="D80" s="50"/>
      <c r="E80" s="50"/>
      <c r="F80" s="50"/>
      <c r="G80" s="50"/>
      <c r="H80" s="50"/>
      <c r="I80" s="50"/>
      <c r="J80" s="50"/>
      <c r="K80" s="50"/>
      <c r="L80" s="50"/>
      <c r="M80" s="50"/>
      <c r="N80" s="50"/>
      <c r="O80" s="50"/>
      <c r="P80" s="50"/>
      <c r="Q80" s="1"/>
      <c r="R80" s="1"/>
      <c r="S80" s="1"/>
      <c r="T80" s="1"/>
      <c r="U80" s="1"/>
      <c r="V80" s="1"/>
      <c r="W80" s="1"/>
      <c r="X80" s="1"/>
      <c r="Y80" s="1"/>
      <c r="Z80" s="1"/>
    </row>
    <row r="81" spans="1:26" ht="12" customHeight="1">
      <c r="A81" s="7" t="str">
        <f>IF($D$13="English","6.  Eccentricity Test (Indicator in hi-res mode)","6.  Prüfung bei Außermittiger Belastung (Indicator in hi-res mode)")</f>
        <v>6.  Eccentricity Test (Indicator in hi-res mode)</v>
      </c>
      <c r="B81" s="1"/>
      <c r="C81" s="6"/>
      <c r="D81" s="8"/>
      <c r="E81" s="8"/>
      <c r="F81" s="1"/>
      <c r="G81" s="1"/>
      <c r="H81" s="1"/>
      <c r="I81" s="1" t="s">
        <v>123</v>
      </c>
      <c r="J81" s="1"/>
      <c r="K81" s="6"/>
      <c r="L81" s="6"/>
      <c r="M81" s="6"/>
      <c r="N81" s="1"/>
      <c r="O81" s="1"/>
      <c r="P81" s="1"/>
      <c r="Q81" s="1"/>
      <c r="R81" s="1"/>
      <c r="S81" s="1"/>
      <c r="T81" s="1"/>
      <c r="U81" s="1"/>
      <c r="V81" s="1"/>
      <c r="W81" s="1"/>
      <c r="X81" s="1"/>
      <c r="Y81" s="1"/>
      <c r="Z81" s="1"/>
    </row>
    <row r="82" spans="1:26" ht="12" customHeight="1">
      <c r="A82" s="7"/>
      <c r="B82" s="1" t="str">
        <f>IF($D$13="English","this test has not to be performed for Hanging Scales","Dieser Test muss bei Hängewaagen nicht durchgeführt werden")</f>
        <v>this test has not to be performed for Hanging Scales</v>
      </c>
      <c r="C82" s="6"/>
      <c r="D82" s="8"/>
      <c r="E82" s="8"/>
      <c r="F82" s="1"/>
      <c r="G82" s="1"/>
      <c r="H82" s="1"/>
      <c r="I82" s="1"/>
      <c r="J82" s="1"/>
      <c r="K82" s="6"/>
      <c r="L82" s="6"/>
      <c r="M82" s="6"/>
      <c r="N82" s="1"/>
      <c r="O82" s="1"/>
      <c r="P82" s="1"/>
      <c r="Q82" s="1"/>
      <c r="R82" s="1"/>
      <c r="S82" s="1"/>
      <c r="T82" s="1"/>
      <c r="U82" s="1"/>
      <c r="V82" s="1"/>
      <c r="W82" s="1"/>
      <c r="X82" s="1"/>
      <c r="Y82" s="1"/>
      <c r="Z82" s="1"/>
    </row>
    <row r="83" spans="1:26" ht="12.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c r="A84" s="7" t="str">
        <f>IF($D$13="English","7.  Earth Gravity","7. Fallbeschleunigung")</f>
        <v>7.  Earth Gravity</v>
      </c>
      <c r="B84" s="46"/>
      <c r="C84" s="74"/>
      <c r="D84" s="74"/>
      <c r="E84" s="41"/>
      <c r="F84" s="41"/>
      <c r="G84" s="41"/>
      <c r="H84" s="75"/>
      <c r="I84" s="75"/>
      <c r="J84" s="41"/>
      <c r="K84" s="41"/>
      <c r="L84" s="73"/>
      <c r="M84" s="73"/>
      <c r="N84" s="42"/>
      <c r="O84" s="42"/>
      <c r="P84" s="28"/>
      <c r="Q84" s="1"/>
      <c r="R84" s="1"/>
      <c r="S84" s="1"/>
      <c r="T84" s="1"/>
      <c r="U84" s="1"/>
      <c r="V84" s="1"/>
      <c r="W84" s="1"/>
      <c r="X84" s="1"/>
      <c r="Y84" s="1"/>
      <c r="Z84" s="1"/>
    </row>
    <row r="85" spans="1:26" ht="12.75" customHeight="1">
      <c r="A85" s="7" t="str">
        <f>IF($D$13="English","Verification for: g=","Prüfung für: g=")</f>
        <v>Verification for: g=</v>
      </c>
      <c r="B85" s="46"/>
      <c r="C85" s="74"/>
      <c r="D85" s="260"/>
      <c r="E85" s="216"/>
      <c r="F85" s="41"/>
      <c r="G85" s="41"/>
      <c r="H85" s="41"/>
      <c r="I85" s="41"/>
      <c r="J85" s="41"/>
      <c r="K85" s="41"/>
      <c r="L85" s="73"/>
      <c r="M85" s="73"/>
      <c r="N85" s="1"/>
      <c r="O85" s="1"/>
      <c r="P85" s="1"/>
      <c r="Q85" s="1"/>
      <c r="R85" s="1"/>
      <c r="S85" s="1"/>
      <c r="T85" s="1"/>
      <c r="U85" s="1"/>
      <c r="V85" s="1"/>
      <c r="W85" s="1"/>
      <c r="X85" s="1"/>
      <c r="Y85" s="1"/>
      <c r="Z85" s="1"/>
    </row>
    <row r="86" spans="1:26" ht="12.75" customHeight="1">
      <c r="A86" s="45"/>
      <c r="B86" s="46"/>
      <c r="C86" s="74"/>
      <c r="D86" s="260"/>
      <c r="E86" s="216"/>
      <c r="F86" s="41"/>
      <c r="G86" s="41"/>
      <c r="H86" s="75"/>
      <c r="I86" s="75"/>
      <c r="J86" s="41"/>
      <c r="K86" s="41"/>
      <c r="L86" s="73"/>
      <c r="M86" s="73"/>
      <c r="N86" s="1"/>
      <c r="O86" s="1"/>
      <c r="P86" s="1"/>
      <c r="Q86" s="1"/>
      <c r="R86" s="1"/>
      <c r="S86" s="1"/>
      <c r="T86" s="1"/>
      <c r="U86" s="1"/>
      <c r="V86" s="1"/>
      <c r="W86" s="1"/>
      <c r="X86" s="1"/>
      <c r="Y86" s="1"/>
      <c r="Z86" s="1"/>
    </row>
    <row r="87" spans="1:26" ht="12.75" customHeight="1">
      <c r="A87" s="45"/>
      <c r="B87" s="46"/>
      <c r="C87" s="74"/>
      <c r="D87" s="74"/>
      <c r="E87" s="74"/>
      <c r="F87" s="41"/>
      <c r="G87" s="41"/>
      <c r="H87" s="75"/>
      <c r="I87" s="75"/>
      <c r="J87" s="41"/>
      <c r="K87" s="41"/>
      <c r="L87" s="73"/>
      <c r="M87" s="73"/>
      <c r="N87" s="1"/>
      <c r="O87" s="1"/>
      <c r="P87" s="1"/>
      <c r="Q87" s="1"/>
      <c r="R87" s="1"/>
      <c r="S87" s="1"/>
      <c r="T87" s="1"/>
      <c r="U87" s="1"/>
      <c r="V87" s="1"/>
      <c r="W87" s="1"/>
      <c r="X87" s="1"/>
      <c r="Y87" s="1"/>
      <c r="Z87" s="1"/>
    </row>
    <row r="88" spans="1:26" ht="12.75" customHeight="1">
      <c r="A88" s="76" t="str">
        <f>IF($D$13="English","place of installation:","Ort der Inbetriebnahme:")</f>
        <v>place of installation:</v>
      </c>
      <c r="B88" s="1"/>
      <c r="C88" s="1"/>
      <c r="D88" s="1"/>
      <c r="E88" s="253"/>
      <c r="F88" s="215"/>
      <c r="G88" s="215"/>
      <c r="H88" s="215"/>
      <c r="I88" s="215"/>
      <c r="J88" s="215"/>
      <c r="K88" s="215"/>
      <c r="L88" s="215"/>
      <c r="M88" s="215"/>
      <c r="N88" s="215"/>
      <c r="O88" s="215"/>
      <c r="P88" s="215"/>
      <c r="Q88" s="261"/>
      <c r="R88" s="1"/>
      <c r="S88" s="1"/>
      <c r="T88" s="1"/>
      <c r="U88" s="1"/>
      <c r="V88" s="1"/>
      <c r="W88" s="1"/>
      <c r="X88" s="1"/>
      <c r="Y88" s="1"/>
      <c r="Z88" s="1"/>
    </row>
    <row r="89" spans="1:26" ht="12.75" customHeight="1">
      <c r="A89" s="77" t="s">
        <v>124</v>
      </c>
      <c r="B89" s="1"/>
      <c r="C89" s="1"/>
      <c r="D89" s="1"/>
      <c r="E89" s="253"/>
      <c r="F89" s="215"/>
      <c r="G89" s="215"/>
      <c r="H89" s="215"/>
      <c r="I89" s="215"/>
      <c r="J89" s="215"/>
      <c r="K89" s="215"/>
      <c r="L89" s="215"/>
      <c r="M89" s="215"/>
      <c r="N89" s="215"/>
      <c r="O89" s="215"/>
      <c r="P89" s="215"/>
      <c r="Q89" s="261"/>
      <c r="R89" s="1"/>
      <c r="S89" s="1"/>
      <c r="T89" s="1"/>
      <c r="U89" s="1"/>
      <c r="V89" s="1"/>
      <c r="W89" s="1"/>
      <c r="X89" s="1"/>
      <c r="Y89" s="1"/>
      <c r="Z89" s="1"/>
    </row>
    <row r="90" spans="1:26" ht="12.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8" customHeight="1">
      <c r="A91" s="76" t="str">
        <f>IF($D$13="English","Calibration Counter C:","Kalibrierzähler C:")</f>
        <v>Calibration Counter C:</v>
      </c>
      <c r="B91" s="1"/>
      <c r="C91" s="1"/>
      <c r="D91" s="1"/>
      <c r="E91" s="253"/>
      <c r="F91" s="216"/>
      <c r="G91" s="17"/>
      <c r="H91" s="41"/>
      <c r="I91" s="41"/>
      <c r="J91" s="41"/>
      <c r="K91" s="41"/>
      <c r="L91" s="73"/>
      <c r="M91" s="73"/>
      <c r="N91" s="1"/>
      <c r="O91" s="1"/>
      <c r="P91" s="1"/>
      <c r="Q91" s="1"/>
      <c r="R91" s="1"/>
      <c r="S91" s="1"/>
      <c r="T91" s="1"/>
      <c r="U91" s="1"/>
      <c r="V91" s="1"/>
      <c r="W91" s="1"/>
      <c r="X91" s="1"/>
      <c r="Y91" s="1"/>
      <c r="Z91" s="1"/>
    </row>
    <row r="92" spans="1:26" ht="12.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c r="A93" s="78"/>
      <c r="B93" s="78" t="str">
        <f>IF($D$13="English","Note:  If the scale  fails any test, it should not be used!","Anmerkung: Falls ein Test nicht bestanden ist, ist die Waage nicht eichfähig!")</f>
        <v>Note:  If the scale  fails any test, it should not be used!</v>
      </c>
      <c r="C93" s="74"/>
      <c r="D93" s="41"/>
      <c r="E93" s="41"/>
      <c r="F93" s="41"/>
      <c r="G93" s="17"/>
      <c r="H93" s="41"/>
      <c r="I93" s="41"/>
      <c r="J93" s="41"/>
      <c r="K93" s="41"/>
      <c r="L93" s="73"/>
      <c r="M93" s="73"/>
      <c r="N93" s="1"/>
      <c r="O93" s="1"/>
      <c r="P93" s="1"/>
      <c r="Q93" s="1"/>
      <c r="R93" s="1"/>
      <c r="S93" s="1"/>
      <c r="T93" s="1"/>
      <c r="U93" s="1"/>
      <c r="V93" s="1"/>
      <c r="W93" s="1"/>
      <c r="X93" s="1"/>
      <c r="Y93" s="1"/>
      <c r="Z93" s="1"/>
    </row>
    <row r="94" spans="1:26" ht="12"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DE/BIQr2Uo/NG3YJONKFXA34ntbcsbX8WoV93SXw0pDF2J8e4aT+7FKmInV9Tj0f4x4bcpJePSOuGM1Q4T6zHQ==" saltValue="HxCzCjO8imFtnkRRG+s/ug==" spinCount="100000" sheet="1" objects="1" scenarios="1"/>
  <mergeCells count="161">
    <mergeCell ref="E45:F45"/>
    <mergeCell ref="G45:H45"/>
    <mergeCell ref="I45:J45"/>
    <mergeCell ref="G47:H47"/>
    <mergeCell ref="I47:J47"/>
    <mergeCell ref="E47:F47"/>
    <mergeCell ref="E48:F48"/>
    <mergeCell ref="G48:H48"/>
    <mergeCell ref="I48:J48"/>
    <mergeCell ref="E37:G37"/>
    <mergeCell ref="A38:D38"/>
    <mergeCell ref="E38:G38"/>
    <mergeCell ref="E50:F50"/>
    <mergeCell ref="G50:H50"/>
    <mergeCell ref="I50:J50"/>
    <mergeCell ref="E52:F52"/>
    <mergeCell ref="E53:F53"/>
    <mergeCell ref="G53:H53"/>
    <mergeCell ref="I53:J53"/>
    <mergeCell ref="B50:C50"/>
    <mergeCell ref="B51:C51"/>
    <mergeCell ref="E51:F51"/>
    <mergeCell ref="G51:H51"/>
    <mergeCell ref="I51:J51"/>
    <mergeCell ref="B52:C52"/>
    <mergeCell ref="B53:C53"/>
    <mergeCell ref="G52:H52"/>
    <mergeCell ref="I52:J52"/>
    <mergeCell ref="B45:C45"/>
    <mergeCell ref="B46:C46"/>
    <mergeCell ref="E46:F46"/>
    <mergeCell ref="G46:H46"/>
    <mergeCell ref="I46:J46"/>
    <mergeCell ref="L5:Q5"/>
    <mergeCell ref="D6:H6"/>
    <mergeCell ref="L6:Q6"/>
    <mergeCell ref="D9:E9"/>
    <mergeCell ref="D10:E10"/>
    <mergeCell ref="L7:Q7"/>
    <mergeCell ref="L9:Q9"/>
    <mergeCell ref="L10:Q10"/>
    <mergeCell ref="L12:Q13"/>
    <mergeCell ref="L8:Q8"/>
    <mergeCell ref="L14:Q15"/>
    <mergeCell ref="J16:K16"/>
    <mergeCell ref="P16:Q16"/>
    <mergeCell ref="E16:H16"/>
    <mergeCell ref="A20:C20"/>
    <mergeCell ref="D20:F20"/>
    <mergeCell ref="G20:H20"/>
    <mergeCell ref="I20:J20"/>
    <mergeCell ref="K20:L20"/>
    <mergeCell ref="J26:L26"/>
    <mergeCell ref="E21:F21"/>
    <mergeCell ref="G21:H21"/>
    <mergeCell ref="B22:C22"/>
    <mergeCell ref="E22:F22"/>
    <mergeCell ref="G22:H22"/>
    <mergeCell ref="I22:J22"/>
    <mergeCell ref="I23:J23"/>
    <mergeCell ref="B23:C23"/>
    <mergeCell ref="B24:C24"/>
    <mergeCell ref="B21:C21"/>
    <mergeCell ref="I21:J21"/>
    <mergeCell ref="E23:F23"/>
    <mergeCell ref="G23:H23"/>
    <mergeCell ref="E24:F24"/>
    <mergeCell ref="G24:H24"/>
    <mergeCell ref="I24:J24"/>
    <mergeCell ref="G25:H25"/>
    <mergeCell ref="I25:J25"/>
    <mergeCell ref="A29:D29"/>
    <mergeCell ref="E29:G29"/>
    <mergeCell ref="H29:I29"/>
    <mergeCell ref="A30:D30"/>
    <mergeCell ref="E30:G30"/>
    <mergeCell ref="K43:L43"/>
    <mergeCell ref="M43:O43"/>
    <mergeCell ref="M44:O44"/>
    <mergeCell ref="M45:O45"/>
    <mergeCell ref="A41:H42"/>
    <mergeCell ref="A43:C43"/>
    <mergeCell ref="D43:F43"/>
    <mergeCell ref="G43:H43"/>
    <mergeCell ref="I43:J43"/>
    <mergeCell ref="B44:C44"/>
    <mergeCell ref="E44:F44"/>
    <mergeCell ref="G44:H44"/>
    <mergeCell ref="I44:J44"/>
    <mergeCell ref="A31:D31"/>
    <mergeCell ref="E31:G31"/>
    <mergeCell ref="A36:D36"/>
    <mergeCell ref="E36:G36"/>
    <mergeCell ref="H36:I36"/>
    <mergeCell ref="A37:D37"/>
    <mergeCell ref="A73:C73"/>
    <mergeCell ref="A74:C74"/>
    <mergeCell ref="A75:C75"/>
    <mergeCell ref="A76:C76"/>
    <mergeCell ref="M49:O49"/>
    <mergeCell ref="M50:O50"/>
    <mergeCell ref="M51:O51"/>
    <mergeCell ref="M52:O52"/>
    <mergeCell ref="M53:O53"/>
    <mergeCell ref="A56:P57"/>
    <mergeCell ref="A65:P66"/>
    <mergeCell ref="C67:D67"/>
    <mergeCell ref="A68:C68"/>
    <mergeCell ref="E68:F68"/>
    <mergeCell ref="B49:C49"/>
    <mergeCell ref="E49:F49"/>
    <mergeCell ref="G49:H49"/>
    <mergeCell ref="I49:J49"/>
    <mergeCell ref="E75:F75"/>
    <mergeCell ref="E76:F76"/>
    <mergeCell ref="M46:O46"/>
    <mergeCell ref="M47:O47"/>
    <mergeCell ref="M48:O48"/>
    <mergeCell ref="A77:C77"/>
    <mergeCell ref="A78:C78"/>
    <mergeCell ref="D85:E85"/>
    <mergeCell ref="B47:C47"/>
    <mergeCell ref="B48:C48"/>
    <mergeCell ref="E72:F72"/>
    <mergeCell ref="G72:H72"/>
    <mergeCell ref="G73:H73"/>
    <mergeCell ref="G68:H68"/>
    <mergeCell ref="A69:C69"/>
    <mergeCell ref="G69:H69"/>
    <mergeCell ref="G70:H70"/>
    <mergeCell ref="E73:F73"/>
    <mergeCell ref="E74:F74"/>
    <mergeCell ref="K75:M75"/>
    <mergeCell ref="K76:M76"/>
    <mergeCell ref="K77:M77"/>
    <mergeCell ref="K78:M78"/>
    <mergeCell ref="A70:C70"/>
    <mergeCell ref="A71:C71"/>
    <mergeCell ref="A72:C72"/>
    <mergeCell ref="E88:Q88"/>
    <mergeCell ref="E89:Q89"/>
    <mergeCell ref="E91:F91"/>
    <mergeCell ref="K68:M68"/>
    <mergeCell ref="K69:M69"/>
    <mergeCell ref="K70:M70"/>
    <mergeCell ref="K71:M71"/>
    <mergeCell ref="K72:M72"/>
    <mergeCell ref="K73:M73"/>
    <mergeCell ref="K74:M74"/>
    <mergeCell ref="E78:F78"/>
    <mergeCell ref="G74:H74"/>
    <mergeCell ref="G75:H75"/>
    <mergeCell ref="G76:H76"/>
    <mergeCell ref="G77:H77"/>
    <mergeCell ref="G78:H78"/>
    <mergeCell ref="E69:F69"/>
    <mergeCell ref="E70:F70"/>
    <mergeCell ref="E71:F71"/>
    <mergeCell ref="G71:H71"/>
    <mergeCell ref="E77:F77"/>
    <mergeCell ref="D86:E86"/>
  </mergeCells>
  <dataValidations count="3">
    <dataValidation type="list" allowBlank="1" showInputMessage="1" showErrorMessage="1" prompt="X or nothing" sqref="H85" xr:uid="{00000000-0002-0000-0700-000000000000}">
      <formula1>"X"</formula1>
    </dataValidation>
    <dataValidation type="list" allowBlank="1" showErrorMessage="1" sqref="D13:D15" xr:uid="{00000000-0002-0000-0700-000001000000}">
      <formula1>"English,Deutsch"</formula1>
    </dataValidation>
    <dataValidation type="list" allowBlank="1" showInputMessage="1" showErrorMessage="1" prompt="Y or N" sqref="N11" xr:uid="{00000000-0002-0000-0700-000002000000}">
      <formula1>"Y,N"</formula1>
    </dataValidation>
  </dataValidations>
  <pageMargins left="0.70866141732283472" right="0.70866141732283472" top="0.78740157480314965" bottom="0.78740157480314965" header="0" footer="0"/>
  <pageSetup paperSize="9" scale="96" orientation="portrait" r:id="rId1"/>
  <headerFooter>
    <oddFooter>&amp;L&amp;F&amp;CPage &amp;P / &amp;R&amp;D</oddFooter>
  </headerFooter>
  <rowBreaks count="1" manualBreakCount="1">
    <brk id="63" max="16383" man="1"/>
  </rowBreaks>
  <colBreaks count="1" manualBreakCount="1">
    <brk id="17"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Z1000"/>
  <sheetViews>
    <sheetView view="pageBreakPreview" zoomScale="115" zoomScaleNormal="100" zoomScaleSheetLayoutView="115" workbookViewId="0">
      <selection activeCell="L8" sqref="L8:Q8"/>
    </sheetView>
  </sheetViews>
  <sheetFormatPr defaultColWidth="12.5703125" defaultRowHeight="15" customHeight="1"/>
  <cols>
    <col min="1" max="1" width="5.28515625" customWidth="1"/>
    <col min="2" max="2" width="6.28515625" customWidth="1"/>
    <col min="3" max="4" width="5.85546875" customWidth="1"/>
    <col min="5" max="5" width="8.85546875" customWidth="1"/>
    <col min="6" max="6" width="5.7109375" customWidth="1"/>
    <col min="7" max="7" width="6.28515625" customWidth="1"/>
    <col min="8" max="8" width="6.5703125" customWidth="1"/>
    <col min="9" max="9" width="5.7109375" customWidth="1"/>
    <col min="10" max="10" width="6.85546875" customWidth="1"/>
    <col min="11" max="11" width="5.85546875" customWidth="1"/>
    <col min="12" max="12" width="4.42578125" customWidth="1"/>
    <col min="13" max="14" width="3.85546875" customWidth="1"/>
    <col min="15" max="15" width="4" customWidth="1"/>
    <col min="16" max="17" width="3.7109375" customWidth="1"/>
    <col min="18" max="26" width="9.140625" customWidth="1"/>
  </cols>
  <sheetData>
    <row r="1" spans="1:26" ht="14.25" customHeight="1">
      <c r="A1" s="206"/>
      <c r="B1" s="206"/>
      <c r="C1" s="206"/>
      <c r="D1" s="206"/>
      <c r="E1" s="206"/>
      <c r="F1" s="206"/>
      <c r="G1" s="1"/>
      <c r="H1" s="1"/>
      <c r="I1" s="1"/>
      <c r="J1" s="1"/>
      <c r="K1" s="1"/>
      <c r="L1" s="1"/>
      <c r="M1" s="1"/>
      <c r="N1" s="1"/>
      <c r="O1" s="1"/>
      <c r="P1" s="1"/>
      <c r="Q1" s="97" t="str">
        <f>IF($D$13="English","Test Report - Single Range medical bed","Test Report - Einbereich Krankenhausbett")</f>
        <v>Test Report - Single Range medical bed</v>
      </c>
      <c r="R1" s="1"/>
      <c r="S1" s="1"/>
      <c r="T1" s="1"/>
      <c r="U1" s="1"/>
      <c r="V1" s="1"/>
      <c r="W1" s="1"/>
      <c r="X1" s="1"/>
      <c r="Y1" s="1"/>
      <c r="Z1" s="1"/>
    </row>
    <row r="2" spans="1:26" ht="12" customHeight="1">
      <c r="A2" s="206"/>
      <c r="B2" s="206"/>
      <c r="C2" s="206"/>
      <c r="D2" s="206"/>
      <c r="E2" s="206"/>
      <c r="F2" s="206"/>
      <c r="G2" s="1"/>
      <c r="H2" s="1"/>
      <c r="I2" s="1"/>
      <c r="J2" s="1"/>
      <c r="K2" s="1"/>
      <c r="L2" s="1"/>
      <c r="M2" s="1"/>
      <c r="N2" s="1"/>
      <c r="O2" s="1"/>
      <c r="P2" s="1"/>
      <c r="Q2" s="4"/>
      <c r="R2" s="1"/>
      <c r="S2" s="1"/>
      <c r="T2" s="1"/>
      <c r="U2" s="1"/>
      <c r="V2" s="1"/>
      <c r="W2" s="1"/>
      <c r="X2" s="1"/>
      <c r="Y2" s="1"/>
      <c r="Z2" s="1"/>
    </row>
    <row r="3" spans="1:26" ht="12" customHeight="1">
      <c r="A3" s="207"/>
      <c r="B3" s="207"/>
      <c r="C3" s="207"/>
      <c r="D3" s="207"/>
      <c r="E3" s="207"/>
      <c r="F3" s="207"/>
      <c r="G3" s="1"/>
      <c r="H3" s="1"/>
      <c r="I3" s="1"/>
      <c r="J3" s="1" t="str">
        <f>IF($D$13="English","Accuracy Class","Genauigkeitsklasse")</f>
        <v>Accuracy Class</v>
      </c>
      <c r="K3" s="1"/>
      <c r="L3" s="1"/>
      <c r="M3" s="1" t="s">
        <v>4</v>
      </c>
      <c r="N3" s="1"/>
      <c r="O3" s="4"/>
      <c r="P3" s="5"/>
      <c r="Q3" s="4"/>
      <c r="R3" s="1"/>
      <c r="S3" s="1"/>
      <c r="T3" s="1"/>
      <c r="U3" s="1"/>
      <c r="V3" s="1"/>
      <c r="W3" s="1"/>
      <c r="X3" s="1"/>
      <c r="Y3" s="1"/>
      <c r="Z3" s="1"/>
    </row>
    <row r="4" spans="1:26" ht="12" customHeight="1">
      <c r="A4" s="209"/>
      <c r="B4" s="209"/>
      <c r="C4" s="209"/>
      <c r="D4" s="208"/>
      <c r="E4" s="208"/>
      <c r="F4" s="208"/>
      <c r="G4" s="1"/>
      <c r="H4" s="1"/>
      <c r="I4" s="1"/>
      <c r="J4" s="1"/>
      <c r="K4" s="1"/>
      <c r="L4" s="1"/>
      <c r="M4" s="1"/>
      <c r="N4" s="1"/>
      <c r="O4" s="1"/>
      <c r="P4" s="6"/>
      <c r="Q4" s="1"/>
      <c r="R4" s="1"/>
      <c r="S4" s="1"/>
      <c r="T4" s="1"/>
      <c r="U4" s="1"/>
      <c r="V4" s="1"/>
      <c r="W4" s="1"/>
      <c r="X4" s="1"/>
      <c r="Y4" s="1"/>
      <c r="Z4" s="1"/>
    </row>
    <row r="5" spans="1:26" ht="12" customHeight="1">
      <c r="A5" s="5"/>
      <c r="B5" s="1"/>
      <c r="C5" s="1"/>
      <c r="D5" s="1"/>
      <c r="E5" s="1"/>
      <c r="F5" s="1"/>
      <c r="G5" s="1"/>
      <c r="H5" s="1"/>
      <c r="I5" s="1"/>
      <c r="J5" s="1"/>
      <c r="K5" s="9" t="str">
        <f>IF($D$13="English","Test Date:","Testdatum")</f>
        <v>Test Date:</v>
      </c>
      <c r="L5" s="243"/>
      <c r="M5" s="215"/>
      <c r="N5" s="215"/>
      <c r="O5" s="215"/>
      <c r="P5" s="215"/>
      <c r="Q5" s="216"/>
      <c r="R5" s="1"/>
      <c r="S5" s="1"/>
      <c r="T5" s="1"/>
      <c r="U5" s="1"/>
      <c r="V5" s="1"/>
      <c r="W5" s="1"/>
      <c r="X5" s="1"/>
      <c r="Y5" s="1"/>
      <c r="Z5" s="1"/>
    </row>
    <row r="6" spans="1:26" ht="12" customHeight="1">
      <c r="A6" s="1"/>
      <c r="B6" s="1"/>
      <c r="C6" s="9" t="str">
        <f>IF($D$13="English","Part No.:","Modell Nr.")</f>
        <v>Part No.:</v>
      </c>
      <c r="D6" s="275"/>
      <c r="E6" s="215"/>
      <c r="F6" s="215"/>
      <c r="G6" s="215"/>
      <c r="H6" s="216"/>
      <c r="I6" s="1"/>
      <c r="J6" s="1"/>
      <c r="K6" s="9" t="str">
        <f>IF($D$13="English","Test Officer:","RVO")</f>
        <v>Test Officer:</v>
      </c>
      <c r="L6" s="214"/>
      <c r="M6" s="215"/>
      <c r="N6" s="215"/>
      <c r="O6" s="215"/>
      <c r="P6" s="215"/>
      <c r="Q6" s="216"/>
      <c r="R6" s="1"/>
      <c r="S6" s="1"/>
      <c r="T6" s="1"/>
      <c r="U6" s="1"/>
      <c r="V6" s="1"/>
      <c r="W6" s="1"/>
      <c r="X6" s="1"/>
      <c r="Y6" s="1"/>
      <c r="Z6" s="1"/>
    </row>
    <row r="7" spans="1:26" ht="12" customHeight="1">
      <c r="A7" s="1"/>
      <c r="B7" s="1"/>
      <c r="F7" s="1"/>
      <c r="G7" s="1"/>
      <c r="H7" s="1"/>
      <c r="I7" s="1"/>
      <c r="J7" s="1"/>
      <c r="K7" s="9" t="str">
        <f>IF($D$13="English","Bed No.","Bett S/N.")</f>
        <v>Bed No.</v>
      </c>
      <c r="L7" s="214"/>
      <c r="M7" s="215"/>
      <c r="N7" s="215"/>
      <c r="O7" s="215"/>
      <c r="P7" s="215"/>
      <c r="Q7" s="216"/>
      <c r="R7" s="1"/>
      <c r="S7" s="1"/>
      <c r="T7" s="1"/>
      <c r="U7" s="1"/>
      <c r="V7" s="1"/>
      <c r="W7" s="1"/>
      <c r="X7" s="1"/>
      <c r="Y7" s="1"/>
      <c r="Z7" s="1"/>
    </row>
    <row r="8" spans="1:26" ht="12" customHeight="1">
      <c r="A8" s="1"/>
      <c r="B8" s="1"/>
      <c r="G8" s="1"/>
      <c r="H8" s="1"/>
      <c r="I8" s="1"/>
      <c r="J8" s="1"/>
      <c r="K8" s="9" t="str">
        <f>IF($D$13="English","Indicator S/N.","Bett S/N.")</f>
        <v>Indicator S/N.</v>
      </c>
      <c r="L8" s="214"/>
      <c r="M8" s="215"/>
      <c r="N8" s="215"/>
      <c r="O8" s="215"/>
      <c r="P8" s="215"/>
      <c r="Q8" s="216"/>
      <c r="R8" s="1"/>
      <c r="S8" s="1"/>
      <c r="T8" s="1"/>
      <c r="U8" s="1"/>
      <c r="V8" s="1"/>
      <c r="W8" s="1"/>
      <c r="X8" s="1"/>
      <c r="Y8" s="1"/>
      <c r="Z8" s="1"/>
    </row>
    <row r="9" spans="1:26" ht="12" customHeight="1">
      <c r="A9" s="1"/>
      <c r="B9" s="1"/>
      <c r="C9" s="6" t="s">
        <v>98</v>
      </c>
      <c r="D9" s="325"/>
      <c r="E9" s="216"/>
      <c r="F9" s="1" t="s">
        <v>11</v>
      </c>
      <c r="G9" s="1"/>
      <c r="H9" s="1"/>
      <c r="I9" s="1"/>
      <c r="J9" s="1"/>
      <c r="K9" s="9" t="str">
        <f>IF($D$13="English","TAC(Type Approval Certificate) Indicator","Bauartzulassung Wägeelektronik")</f>
        <v>TAC(Type Approval Certificate) Indicator</v>
      </c>
      <c r="L9" s="214"/>
      <c r="M9" s="215"/>
      <c r="N9" s="215"/>
      <c r="O9" s="215"/>
      <c r="P9" s="215"/>
      <c r="Q9" s="216"/>
      <c r="R9" s="1"/>
      <c r="S9" s="1"/>
      <c r="T9" s="1"/>
      <c r="U9" s="1"/>
      <c r="V9" s="1"/>
      <c r="W9" s="1"/>
      <c r="X9" s="1"/>
      <c r="Y9" s="1"/>
      <c r="Z9" s="1"/>
    </row>
    <row r="10" spans="1:26" ht="12" customHeight="1">
      <c r="A10" s="1"/>
      <c r="B10" s="1"/>
      <c r="C10" s="6" t="s">
        <v>99</v>
      </c>
      <c r="D10" s="326"/>
      <c r="E10" s="216"/>
      <c r="F10" s="1" t="s">
        <v>11</v>
      </c>
      <c r="G10" s="1"/>
      <c r="H10" s="1"/>
      <c r="I10" s="1"/>
      <c r="J10" s="1"/>
      <c r="K10" s="9" t="str">
        <f>IF($D$13="English","Firmware type and version:","Wägeelektronik Programm und Version")</f>
        <v>Firmware type and version:</v>
      </c>
      <c r="L10" s="214"/>
      <c r="M10" s="215"/>
      <c r="N10" s="215"/>
      <c r="O10" s="215"/>
      <c r="P10" s="215"/>
      <c r="Q10" s="216"/>
      <c r="R10" s="1"/>
      <c r="S10" s="1"/>
      <c r="T10" s="1"/>
      <c r="U10" s="1"/>
      <c r="V10" s="1"/>
      <c r="W10" s="1"/>
      <c r="X10" s="1"/>
      <c r="Y10" s="1"/>
      <c r="Z10" s="1"/>
    </row>
    <row r="11" spans="1:26" ht="12" customHeight="1">
      <c r="A11" s="1"/>
      <c r="B11" s="1"/>
      <c r="C11" s="6"/>
      <c r="D11" s="1"/>
      <c r="E11" s="1"/>
      <c r="F11" s="1"/>
      <c r="G11" s="1"/>
      <c r="H11" s="1"/>
      <c r="I11" s="1"/>
      <c r="J11" s="6"/>
      <c r="K11" s="6"/>
      <c r="L11" s="1"/>
      <c r="M11" s="120" t="str">
        <f>IF($D$13="English","Test Weight Calibrations Current?","Standardgewichte kalibriert?")</f>
        <v>Test Weight Calibrations Current?</v>
      </c>
      <c r="N11" s="181"/>
      <c r="O11" s="1"/>
      <c r="P11" s="1"/>
      <c r="Q11" s="1"/>
      <c r="R11" s="1"/>
      <c r="S11" s="1"/>
      <c r="T11" s="1"/>
      <c r="U11" s="1"/>
      <c r="V11" s="1"/>
      <c r="W11" s="1"/>
      <c r="X11" s="1"/>
      <c r="Y11" s="1"/>
      <c r="Z11" s="1"/>
    </row>
    <row r="12" spans="1:26" ht="12" customHeight="1">
      <c r="A12" s="1"/>
      <c r="B12" s="1"/>
      <c r="C12" s="1"/>
      <c r="D12" s="1"/>
      <c r="E12" s="1"/>
      <c r="F12" s="1"/>
      <c r="G12" s="1"/>
      <c r="H12" s="1"/>
      <c r="K12" s="9" t="str">
        <f>IF($D$13="English","Set-No. of Standard-Weights in use","Set-Nr. der Standardgewichte")</f>
        <v>Set-No. of Standard-Weights in use</v>
      </c>
      <c r="L12" s="247"/>
      <c r="M12" s="248"/>
      <c r="N12" s="248"/>
      <c r="O12" s="248"/>
      <c r="P12" s="248"/>
      <c r="Q12" s="249"/>
      <c r="R12" s="1"/>
      <c r="S12" s="1"/>
      <c r="T12" s="1"/>
      <c r="U12" s="1"/>
      <c r="V12" s="1"/>
      <c r="W12" s="1"/>
      <c r="X12" s="1"/>
      <c r="Y12" s="1"/>
      <c r="Z12" s="1"/>
    </row>
    <row r="13" spans="1:26" ht="12" customHeight="1">
      <c r="A13" s="14" t="s">
        <v>19</v>
      </c>
      <c r="B13" s="1"/>
      <c r="C13" s="1"/>
      <c r="D13" s="174" t="s">
        <v>0</v>
      </c>
      <c r="E13" s="1"/>
      <c r="F13" s="1"/>
      <c r="G13" s="1"/>
      <c r="H13" s="1"/>
      <c r="L13" s="250"/>
      <c r="M13" s="251"/>
      <c r="N13" s="251"/>
      <c r="O13" s="251"/>
      <c r="P13" s="251"/>
      <c r="Q13" s="252"/>
      <c r="R13" s="1"/>
      <c r="S13" s="1"/>
      <c r="T13" s="1"/>
      <c r="U13" s="1"/>
      <c r="V13" s="1"/>
      <c r="W13" s="1"/>
      <c r="X13" s="1"/>
      <c r="Y13" s="1"/>
      <c r="Z13" s="1"/>
    </row>
    <row r="14" spans="1:26" ht="12" customHeight="1">
      <c r="A14" s="14"/>
      <c r="B14" s="1"/>
      <c r="C14" s="1"/>
      <c r="D14" s="16"/>
      <c r="E14" s="1"/>
      <c r="F14" s="1"/>
      <c r="G14" s="1"/>
      <c r="H14" s="1"/>
      <c r="K14" s="9" t="str">
        <f>IF($D$13="English","Set-No. Small Weights in use","Set-Nr. der kleinen Gewichte")</f>
        <v>Set-No. Small Weights in use</v>
      </c>
      <c r="L14" s="247"/>
      <c r="M14" s="248"/>
      <c r="N14" s="248"/>
      <c r="O14" s="248"/>
      <c r="P14" s="248"/>
      <c r="Q14" s="249"/>
      <c r="R14" s="1"/>
      <c r="S14" s="1"/>
      <c r="T14" s="1"/>
      <c r="U14" s="1"/>
      <c r="V14" s="1"/>
      <c r="W14" s="1"/>
      <c r="X14" s="1"/>
      <c r="Y14" s="1"/>
      <c r="Z14" s="1"/>
    </row>
    <row r="15" spans="1:26" ht="12" customHeight="1">
      <c r="A15" s="14"/>
      <c r="B15" s="1"/>
      <c r="C15" s="1"/>
      <c r="D15" s="16"/>
      <c r="E15" s="1"/>
      <c r="F15" s="1"/>
      <c r="G15" s="1"/>
      <c r="H15" s="1"/>
      <c r="K15" s="1"/>
      <c r="L15" s="250"/>
      <c r="M15" s="251"/>
      <c r="N15" s="251"/>
      <c r="O15" s="251"/>
      <c r="P15" s="251"/>
      <c r="Q15" s="252"/>
      <c r="R15" s="1"/>
      <c r="S15" s="1"/>
      <c r="T15" s="1"/>
      <c r="U15" s="1"/>
      <c r="V15" s="1"/>
      <c r="W15" s="1"/>
      <c r="X15" s="1"/>
      <c r="Y15" s="1"/>
      <c r="Z15" s="1"/>
    </row>
    <row r="16" spans="1:26" ht="17.25" customHeight="1">
      <c r="A16" s="7" t="str">
        <f>IF($D$13="English","Load Cell","Wägezelle")</f>
        <v>Load Cell</v>
      </c>
      <c r="B16" s="1"/>
      <c r="C16" s="1" t="str">
        <f>IF($D$13="English","Manufacturer","Hersteller")</f>
        <v>Manufacturer</v>
      </c>
      <c r="D16" s="6"/>
      <c r="E16" s="240"/>
      <c r="F16" s="215"/>
      <c r="G16" s="215"/>
      <c r="H16" s="216"/>
      <c r="I16" s="1" t="s">
        <v>22</v>
      </c>
      <c r="J16" s="253"/>
      <c r="K16" s="216"/>
      <c r="L16" s="1" t="str">
        <f>IF($D$13="English","Total number:","Gesamtanzahl:")</f>
        <v>Total number:</v>
      </c>
      <c r="M16" s="6"/>
      <c r="N16" s="6"/>
      <c r="O16" s="1"/>
      <c r="P16" s="301"/>
      <c r="Q16" s="302"/>
      <c r="R16" s="1"/>
      <c r="S16" s="1"/>
      <c r="T16" s="1"/>
      <c r="U16" s="1"/>
      <c r="V16" s="1"/>
      <c r="W16" s="1"/>
      <c r="X16" s="1"/>
      <c r="Y16" s="1"/>
      <c r="Z16" s="1"/>
    </row>
    <row r="17" spans="1:26" ht="12" customHeight="1">
      <c r="A17" s="1"/>
      <c r="B17" s="1"/>
      <c r="C17" s="1"/>
      <c r="D17" s="1"/>
      <c r="E17" s="1"/>
      <c r="F17" s="1"/>
      <c r="G17" s="6"/>
      <c r="J17" s="17"/>
      <c r="K17" s="1"/>
      <c r="L17" s="1"/>
      <c r="M17" s="1"/>
      <c r="N17" s="1"/>
      <c r="O17" s="1"/>
      <c r="P17" s="1"/>
      <c r="Q17" s="1"/>
      <c r="R17" s="1"/>
      <c r="S17" s="1"/>
      <c r="T17" s="1"/>
      <c r="U17" s="1"/>
      <c r="V17" s="1"/>
      <c r="W17" s="1"/>
      <c r="X17" s="1"/>
      <c r="Y17" s="1"/>
      <c r="Z17" s="1"/>
    </row>
    <row r="18" spans="1:26" ht="12" customHeight="1">
      <c r="A18" s="7" t="str">
        <f>IF($D$13="English","1. Repeatability Test (indicator in hi-res mode):","1. Prüfung der Wiederholbarkeit (Indikator in Hi-Res-Modus):")</f>
        <v>1. Repeatability Test (indicator in hi-res mode):</v>
      </c>
      <c r="B18" s="1"/>
      <c r="C18" s="6"/>
      <c r="D18" s="8"/>
      <c r="E18" s="8"/>
      <c r="F18" s="1"/>
      <c r="G18" s="1"/>
      <c r="H18" s="1" t="str">
        <f>IF($D$13="English","accordance to EN45501-2015, A.4.10","gemäß EN45501-2015, A.4.10")</f>
        <v>accordance to EN45501-2015, A.4.10</v>
      </c>
      <c r="I18" s="1"/>
      <c r="J18" s="1"/>
      <c r="K18" s="6"/>
      <c r="L18" s="6"/>
      <c r="M18" s="6"/>
      <c r="N18" s="1"/>
      <c r="O18" s="1"/>
      <c r="P18" s="1"/>
      <c r="Q18" s="1"/>
      <c r="R18" s="1"/>
      <c r="S18" s="1"/>
      <c r="T18" s="1"/>
      <c r="U18" s="1"/>
      <c r="V18" s="1"/>
      <c r="W18" s="1"/>
      <c r="X18" s="1"/>
      <c r="Y18" s="1"/>
      <c r="Z18" s="1"/>
    </row>
    <row r="19" spans="1:26" ht="12" customHeight="1">
      <c r="A19" s="1" t="str">
        <f>IF($D$13="English","* The zero tracking device may be in operation for the repeatability test.","* Die Nullnachführung darf  bei der Prüfung der Wiederholbarkeit eingeschaltet sein")</f>
        <v>* The zero tracking device may be in operation for the repeatability test.</v>
      </c>
      <c r="B19" s="1"/>
      <c r="C19" s="6"/>
      <c r="D19" s="8"/>
      <c r="E19" s="8"/>
      <c r="F19" s="1"/>
      <c r="G19" s="1"/>
      <c r="H19" s="1"/>
      <c r="I19" s="1"/>
      <c r="J19" s="1"/>
      <c r="K19" s="6"/>
      <c r="L19" s="6"/>
      <c r="M19" s="6"/>
      <c r="N19" s="1"/>
      <c r="O19" s="1"/>
      <c r="P19" s="1"/>
      <c r="Q19" s="1"/>
      <c r="R19" s="1"/>
      <c r="S19" s="1"/>
      <c r="T19" s="1"/>
      <c r="U19" s="1"/>
      <c r="V19" s="1"/>
      <c r="W19" s="1"/>
      <c r="X19" s="1"/>
      <c r="Y19" s="1"/>
      <c r="Z19" s="1"/>
    </row>
    <row r="20" spans="1:26" ht="12.75" customHeight="1">
      <c r="A20" s="234" t="str">
        <f>IF($D$13="English","load must be about","ungefähre Last")</f>
        <v>load must be about</v>
      </c>
      <c r="B20" s="223"/>
      <c r="C20" s="220"/>
      <c r="D20" s="231" t="s">
        <v>26</v>
      </c>
      <c r="E20" s="223"/>
      <c r="F20" s="220"/>
      <c r="G20" s="231" t="s">
        <v>27</v>
      </c>
      <c r="H20" s="220"/>
      <c r="I20" s="231" t="s">
        <v>28</v>
      </c>
      <c r="J20" s="220"/>
      <c r="K20" s="231" t="s">
        <v>29</v>
      </c>
      <c r="L20" s="220"/>
      <c r="M20" s="19" t="s">
        <v>30</v>
      </c>
      <c r="N20" s="13"/>
      <c r="O20" s="13"/>
      <c r="P20" s="1"/>
      <c r="Q20" s="1"/>
      <c r="R20" s="88"/>
      <c r="S20" s="1"/>
    </row>
    <row r="21" spans="1:26" ht="12" customHeight="1">
      <c r="A21" s="19" t="s">
        <v>32</v>
      </c>
      <c r="B21" s="239" t="s">
        <v>33</v>
      </c>
      <c r="C21" s="220"/>
      <c r="D21" s="19" t="s">
        <v>32</v>
      </c>
      <c r="E21" s="239" t="s">
        <v>33</v>
      </c>
      <c r="F21" s="220"/>
      <c r="G21" s="231" t="s">
        <v>33</v>
      </c>
      <c r="H21" s="220"/>
      <c r="I21" s="231" t="s">
        <v>33</v>
      </c>
      <c r="J21" s="223"/>
      <c r="K21" s="19" t="s">
        <v>33</v>
      </c>
      <c r="L21" s="21" t="s">
        <v>32</v>
      </c>
      <c r="M21" s="19" t="s">
        <v>34</v>
      </c>
      <c r="N21" s="13"/>
      <c r="O21" s="13"/>
      <c r="P21" s="1"/>
      <c r="Q21" s="1"/>
      <c r="R21" s="1"/>
      <c r="S21" s="1"/>
    </row>
    <row r="22" spans="1:26" ht="12" customHeight="1">
      <c r="A22" s="24" t="str">
        <f t="shared" ref="A22:A24" si="0">IF($D$10=0," ",$D$9/$D$10*0.8)</f>
        <v xml:space="preserve"> </v>
      </c>
      <c r="B22" s="365">
        <f t="shared" ref="B22:B24" si="1">$D$9*0.8</f>
        <v>0</v>
      </c>
      <c r="C22" s="220"/>
      <c r="D22" s="38" t="str">
        <f t="shared" ref="D22:D24" si="2">IF($D$10=0," ",E22/$D$10)</f>
        <v xml:space="preserve"> </v>
      </c>
      <c r="E22" s="269"/>
      <c r="F22" s="216"/>
      <c r="G22" s="269"/>
      <c r="H22" s="216"/>
      <c r="I22" s="270" t="str">
        <f t="shared" ref="I22:I24" si="3">IF(G22=0," ",ABS(G22-E22))</f>
        <v xml:space="preserve"> </v>
      </c>
      <c r="J22" s="220"/>
      <c r="K22" s="82">
        <f t="shared" ref="K22:K25" si="4">L22*$D$10</f>
        <v>0</v>
      </c>
      <c r="L22" s="26">
        <f t="shared" ref="L22:L24" si="5">IF(D22=" ",0,IF(D22&lt;=500,0.5,(IF(D22&lt;=2000,1,IF(D22&gt;2000,1.5," ")))))</f>
        <v>0</v>
      </c>
      <c r="M22" s="27" t="str">
        <f t="shared" ref="M22:M25" si="6">IF(I22&lt;=K22,"Y","N")</f>
        <v>N</v>
      </c>
      <c r="N22" s="1"/>
      <c r="O22" s="1"/>
      <c r="P22" s="1"/>
      <c r="Q22" s="1"/>
      <c r="R22" s="1"/>
      <c r="S22" s="1"/>
      <c r="T22" s="1"/>
      <c r="U22" s="1"/>
      <c r="V22" s="1"/>
      <c r="W22" s="1"/>
      <c r="X22" s="1"/>
      <c r="Y22" s="1"/>
      <c r="Z22" s="1"/>
    </row>
    <row r="23" spans="1:26" ht="12" customHeight="1">
      <c r="A23" s="24" t="str">
        <f t="shared" si="0"/>
        <v xml:space="preserve"> </v>
      </c>
      <c r="B23" s="365">
        <f t="shared" si="1"/>
        <v>0</v>
      </c>
      <c r="C23" s="220"/>
      <c r="D23" s="38" t="str">
        <f t="shared" si="2"/>
        <v xml:space="preserve"> </v>
      </c>
      <c r="E23" s="366">
        <f>E22</f>
        <v>0</v>
      </c>
      <c r="F23" s="220"/>
      <c r="G23" s="269"/>
      <c r="H23" s="216"/>
      <c r="I23" s="270" t="str">
        <f t="shared" si="3"/>
        <v xml:space="preserve"> </v>
      </c>
      <c r="J23" s="220"/>
      <c r="K23" s="82">
        <f t="shared" si="4"/>
        <v>0</v>
      </c>
      <c r="L23" s="26">
        <f t="shared" si="5"/>
        <v>0</v>
      </c>
      <c r="M23" s="27" t="str">
        <f t="shared" si="6"/>
        <v>N</v>
      </c>
      <c r="N23" s="1"/>
      <c r="O23" s="1"/>
      <c r="P23" s="1"/>
      <c r="Q23" s="1"/>
      <c r="R23" s="1"/>
      <c r="S23" s="1"/>
      <c r="T23" s="1"/>
      <c r="U23" s="1"/>
      <c r="V23" s="1"/>
      <c r="W23" s="1"/>
      <c r="X23" s="1"/>
      <c r="Y23" s="1"/>
      <c r="Z23" s="1"/>
    </row>
    <row r="24" spans="1:26" ht="12" customHeight="1">
      <c r="A24" s="24" t="str">
        <f t="shared" si="0"/>
        <v xml:space="preserve"> </v>
      </c>
      <c r="B24" s="365">
        <f t="shared" si="1"/>
        <v>0</v>
      </c>
      <c r="C24" s="220"/>
      <c r="D24" s="38" t="str">
        <f t="shared" si="2"/>
        <v xml:space="preserve"> </v>
      </c>
      <c r="E24" s="366">
        <f>E22</f>
        <v>0</v>
      </c>
      <c r="F24" s="220"/>
      <c r="G24" s="269"/>
      <c r="H24" s="216"/>
      <c r="I24" s="270" t="str">
        <f t="shared" si="3"/>
        <v xml:space="preserve"> </v>
      </c>
      <c r="J24" s="220"/>
      <c r="K24" s="82">
        <f t="shared" si="4"/>
        <v>0</v>
      </c>
      <c r="L24" s="26">
        <f t="shared" si="5"/>
        <v>0</v>
      </c>
      <c r="M24" s="27" t="str">
        <f t="shared" si="6"/>
        <v>N</v>
      </c>
      <c r="N24" s="1"/>
      <c r="O24" s="1"/>
      <c r="P24" s="1"/>
      <c r="Q24" s="1"/>
      <c r="R24" s="1"/>
      <c r="S24" s="1"/>
      <c r="T24" s="1"/>
      <c r="U24" s="1"/>
      <c r="V24" s="1"/>
      <c r="W24" s="1"/>
      <c r="X24" s="1"/>
      <c r="Y24" s="1"/>
      <c r="Z24" s="1"/>
    </row>
    <row r="25" spans="1:26" ht="12" customHeight="1">
      <c r="A25" s="28"/>
      <c r="B25" s="141"/>
      <c r="C25" s="142"/>
      <c r="D25" s="53"/>
      <c r="E25" s="43"/>
      <c r="F25" s="143"/>
      <c r="G25" s="231" t="s">
        <v>125</v>
      </c>
      <c r="H25" s="220"/>
      <c r="I25" s="270">
        <f>IF(G22=0,0,ROUND((MAX(G22:H24)-MIN(G22:H24)),4))</f>
        <v>0</v>
      </c>
      <c r="J25" s="220"/>
      <c r="K25" s="82">
        <f t="shared" si="4"/>
        <v>0</v>
      </c>
      <c r="L25" s="26">
        <f>IF(OR(D22=" ",D23=" ",D24=" "),0,IF(AND(D22&lt;=500,D23&lt;=500,D24&lt;=500),0.5,(IF(AND(D22&lt;=2000,D23&lt;=2000,D24&lt;=2000),1,IF(AND(D22&gt;2000,D23&gt;2000,D24&gt;2000),1.5," ")))))</f>
        <v>0</v>
      </c>
      <c r="M25" s="27" t="str">
        <f t="shared" si="6"/>
        <v>Y</v>
      </c>
      <c r="N25" s="1"/>
      <c r="O25" s="1"/>
      <c r="P25" s="1"/>
      <c r="Q25" s="1"/>
      <c r="R25" s="1"/>
      <c r="S25" s="1"/>
      <c r="T25" s="1"/>
      <c r="U25" s="1"/>
      <c r="V25" s="1"/>
      <c r="W25" s="1"/>
      <c r="X25" s="1"/>
      <c r="Y25" s="1"/>
      <c r="Z25" s="1"/>
    </row>
    <row r="26" spans="1:26" ht="12" customHeight="1">
      <c r="A26" s="1"/>
      <c r="B26" s="1"/>
      <c r="C26" s="1"/>
      <c r="D26" s="1"/>
      <c r="E26" s="1"/>
      <c r="F26" s="1"/>
      <c r="G26" s="1"/>
      <c r="H26" s="1"/>
      <c r="I26" s="1"/>
      <c r="J26" s="224" t="str">
        <f>IF($D$13="English","Test passed?","Test bestanden?")</f>
        <v>Test passed?</v>
      </c>
      <c r="K26" s="225"/>
      <c r="L26" s="226"/>
      <c r="M26" s="27" t="str">
        <f>IF(AND(M22="Y",M23="Y",M24="Y",M25="Y"),"Y","N")</f>
        <v>N</v>
      </c>
      <c r="N26" s="1"/>
      <c r="O26" s="1"/>
      <c r="P26" s="1"/>
      <c r="Q26" s="1"/>
      <c r="R26" s="1"/>
      <c r="S26" s="1"/>
      <c r="T26" s="1"/>
      <c r="U26" s="1"/>
      <c r="V26" s="1"/>
      <c r="W26" s="1"/>
      <c r="X26" s="1"/>
      <c r="Y26" s="1"/>
      <c r="Z26" s="1"/>
    </row>
    <row r="27" spans="1:26" ht="12" customHeight="1">
      <c r="A27" s="1"/>
      <c r="B27" s="1"/>
      <c r="C27" s="1"/>
      <c r="D27" s="1"/>
      <c r="E27" s="1"/>
      <c r="F27" s="1"/>
      <c r="G27" s="1"/>
      <c r="H27" s="1"/>
      <c r="I27" s="1"/>
      <c r="J27" s="6"/>
      <c r="M27" s="125"/>
      <c r="N27" s="1"/>
      <c r="O27" s="1"/>
      <c r="P27" s="1"/>
      <c r="Q27" s="1"/>
      <c r="R27" s="1"/>
      <c r="S27" s="1"/>
      <c r="T27" s="1"/>
      <c r="U27" s="1"/>
      <c r="V27" s="1"/>
      <c r="W27" s="1"/>
      <c r="X27" s="1"/>
      <c r="Y27" s="1"/>
      <c r="Z27" s="1"/>
    </row>
    <row r="28" spans="1:26" ht="15.75" customHeight="1">
      <c r="A28" s="7" t="str">
        <f>IF($D$13="English","2.  Accuracy of Zero Device (hi-res mode: off):","2.  Prüfung der Genauigkeit der Nullstellung (Hi-Res-Modus aus):")</f>
        <v>2.  Accuracy of Zero Device (hi-res mode: off):</v>
      </c>
      <c r="B28" s="1"/>
      <c r="C28" s="1"/>
      <c r="D28" s="1"/>
      <c r="E28" s="1"/>
      <c r="F28" s="1"/>
      <c r="G28" s="1"/>
      <c r="H28" s="1" t="str">
        <f>IF($D$13="English","accordance to EN45501-2015, A.4.2.3","gemäß EN45501-2015, A.4.2.3")</f>
        <v>accordance to EN45501-2015, A.4.2.3</v>
      </c>
      <c r="I28" s="1"/>
      <c r="J28" s="1"/>
      <c r="K28" s="1"/>
      <c r="L28" s="30"/>
      <c r="M28" s="1"/>
      <c r="N28" s="1"/>
      <c r="O28" s="1"/>
      <c r="P28" s="1"/>
      <c r="Q28" s="1"/>
      <c r="R28" s="1"/>
      <c r="S28" s="1"/>
      <c r="T28" s="1"/>
      <c r="U28" s="1"/>
      <c r="V28" s="1"/>
      <c r="W28" s="1"/>
      <c r="X28" s="1"/>
      <c r="Y28" s="1"/>
      <c r="Z28" s="1"/>
    </row>
    <row r="29" spans="1:26" ht="12" customHeight="1">
      <c r="A29" s="231" t="s">
        <v>48</v>
      </c>
      <c r="B29" s="223"/>
      <c r="C29" s="223"/>
      <c r="D29" s="220"/>
      <c r="E29" s="231" t="s">
        <v>49</v>
      </c>
      <c r="F29" s="223"/>
      <c r="G29" s="220"/>
      <c r="H29" s="231" t="s">
        <v>29</v>
      </c>
      <c r="I29" s="220"/>
      <c r="J29" s="19" t="s">
        <v>30</v>
      </c>
      <c r="K29" s="30"/>
      <c r="L29" s="1"/>
      <c r="M29" s="1"/>
      <c r="N29" s="1"/>
      <c r="O29" s="1"/>
      <c r="P29" s="1"/>
      <c r="Q29" s="1"/>
      <c r="R29" s="1"/>
      <c r="S29" s="1"/>
      <c r="T29" s="1"/>
      <c r="U29" s="1"/>
      <c r="V29" s="1"/>
      <c r="W29" s="1"/>
      <c r="X29" s="1"/>
      <c r="Y29" s="1"/>
      <c r="Z29" s="1"/>
    </row>
    <row r="30" spans="1:26" ht="12.75" customHeight="1">
      <c r="A30" s="231" t="s">
        <v>33</v>
      </c>
      <c r="B30" s="223"/>
      <c r="C30" s="223"/>
      <c r="D30" s="220"/>
      <c r="E30" s="231" t="s">
        <v>33</v>
      </c>
      <c r="F30" s="223"/>
      <c r="G30" s="220"/>
      <c r="H30" s="19" t="s">
        <v>33</v>
      </c>
      <c r="I30" s="21" t="s">
        <v>32</v>
      </c>
      <c r="J30" s="19" t="s">
        <v>34</v>
      </c>
      <c r="K30" s="30"/>
      <c r="L30" s="1"/>
      <c r="M30" s="1"/>
      <c r="N30" s="1"/>
      <c r="O30" s="1"/>
      <c r="P30" s="1"/>
      <c r="Q30" s="1"/>
      <c r="R30" s="1"/>
      <c r="S30" s="1"/>
      <c r="T30" s="1"/>
      <c r="U30" s="1"/>
      <c r="V30" s="1"/>
      <c r="W30" s="1"/>
      <c r="X30" s="1"/>
      <c r="Y30" s="1"/>
      <c r="Z30" s="1"/>
    </row>
    <row r="31" spans="1:26" ht="12" customHeight="1">
      <c r="A31" s="272"/>
      <c r="B31" s="215"/>
      <c r="C31" s="215"/>
      <c r="D31" s="216"/>
      <c r="E31" s="270" t="str">
        <f>IF(A31=0," ",0.5*$D$10-$A$31)</f>
        <v xml:space="preserve"> </v>
      </c>
      <c r="F31" s="223"/>
      <c r="G31" s="220"/>
      <c r="H31" s="90">
        <f>I31*$D$10</f>
        <v>0</v>
      </c>
      <c r="I31" s="36">
        <v>0.25</v>
      </c>
      <c r="J31" s="27" t="str">
        <f>IF(A31=0," ",IF(H31&gt;=ABS($E31),"Y","N"))</f>
        <v xml:space="preserve"> </v>
      </c>
      <c r="K31" s="28"/>
      <c r="R31" s="1"/>
      <c r="S31" s="1"/>
      <c r="T31" s="1"/>
      <c r="U31" s="1"/>
      <c r="V31" s="1"/>
      <c r="W31" s="1"/>
      <c r="X31" s="1"/>
      <c r="Y31" s="1"/>
      <c r="Z31" s="1"/>
    </row>
    <row r="32" spans="1:26" ht="12" customHeight="1">
      <c r="A32" s="7"/>
      <c r="B32" s="7"/>
      <c r="C32" s="1"/>
      <c r="D32" s="1"/>
      <c r="E32" s="1"/>
      <c r="F32" s="1"/>
      <c r="G32" s="1"/>
      <c r="H32" s="1"/>
      <c r="I32" s="6" t="str">
        <f>IF($D$13="English","Test passed?","Test bestanden?")</f>
        <v>Test passed?</v>
      </c>
      <c r="J32" s="27" t="str">
        <f>IF(J31="Y","Y","N")</f>
        <v>N</v>
      </c>
      <c r="K32" s="1"/>
      <c r="R32" s="1"/>
      <c r="S32" s="180"/>
      <c r="T32" s="1"/>
      <c r="U32" s="1"/>
      <c r="V32" s="1"/>
      <c r="W32" s="1"/>
      <c r="X32" s="1"/>
      <c r="Y32" s="1"/>
      <c r="Z32" s="1"/>
    </row>
    <row r="33" spans="1:26" ht="12" customHeight="1">
      <c r="A33" s="7"/>
      <c r="B33" s="1"/>
      <c r="C33" s="1"/>
      <c r="D33" s="1"/>
      <c r="E33" s="1"/>
      <c r="F33" s="1"/>
      <c r="G33" s="1"/>
      <c r="H33" s="1"/>
      <c r="I33" s="1"/>
      <c r="J33" s="1"/>
      <c r="K33" s="1"/>
      <c r="L33" s="30"/>
      <c r="M33" s="1"/>
      <c r="R33" s="1"/>
      <c r="S33" s="1"/>
      <c r="T33" s="1"/>
      <c r="U33" s="1"/>
      <c r="V33" s="1"/>
      <c r="W33" s="1"/>
      <c r="X33" s="1"/>
      <c r="Y33" s="1"/>
      <c r="Z33" s="1"/>
    </row>
    <row r="34" spans="1:26" ht="12" customHeight="1">
      <c r="A34" s="7" t="str">
        <f>IF($D$13="English","3.  Accuracy of Tare Device  (hi-res mode: off):","3.  Genauigkeit der Tarierung  (Hi-Res-Modus: aus):")</f>
        <v>3.  Accuracy of Tare Device  (hi-res mode: off):</v>
      </c>
      <c r="B34" s="31"/>
      <c r="C34" s="32"/>
      <c r="D34" s="1"/>
      <c r="E34" s="1"/>
      <c r="F34" s="1"/>
      <c r="G34" s="1" t="str">
        <f>IF($D$13="English","accordance to EN45501-2015, A.4.6.2","gemäß EN45501-2015, A.4.6.2")</f>
        <v>accordance to EN45501-2015, A.4.6.2</v>
      </c>
      <c r="H34" s="1"/>
      <c r="J34" s="17"/>
      <c r="K34" s="1"/>
      <c r="L34" s="1"/>
      <c r="M34" s="33" t="s">
        <v>50</v>
      </c>
      <c r="O34" s="34"/>
      <c r="R34" s="1"/>
      <c r="S34" s="1"/>
      <c r="T34" s="1"/>
      <c r="U34" s="1"/>
      <c r="V34" s="1"/>
      <c r="W34" s="1"/>
      <c r="X34" s="1"/>
      <c r="Y34" s="1"/>
      <c r="Z34" s="1"/>
    </row>
    <row r="35" spans="1:26" ht="12" customHeight="1">
      <c r="A35" s="1"/>
      <c r="B35" s="31"/>
      <c r="C35" s="32"/>
      <c r="D35" s="1"/>
      <c r="E35" s="1"/>
      <c r="F35" s="1"/>
      <c r="G35" s="6"/>
      <c r="H35" s="1"/>
      <c r="J35" s="17"/>
      <c r="K35" s="1"/>
      <c r="L35" s="1"/>
      <c r="M35" s="1"/>
      <c r="N35" s="1"/>
      <c r="O35" s="1"/>
      <c r="P35" s="1"/>
      <c r="Q35" s="1"/>
      <c r="R35" s="1"/>
      <c r="S35" s="1"/>
      <c r="T35" s="1"/>
      <c r="U35" s="1"/>
      <c r="V35" s="1"/>
      <c r="W35" s="1"/>
      <c r="X35" s="1"/>
      <c r="Y35" s="1"/>
      <c r="Z35" s="1"/>
    </row>
    <row r="36" spans="1:26" ht="12" customHeight="1">
      <c r="A36" s="231" t="s">
        <v>48</v>
      </c>
      <c r="B36" s="223"/>
      <c r="C36" s="223"/>
      <c r="D36" s="220"/>
      <c r="E36" s="231" t="s">
        <v>51</v>
      </c>
      <c r="F36" s="223"/>
      <c r="G36" s="220"/>
      <c r="H36" s="231" t="s">
        <v>29</v>
      </c>
      <c r="I36" s="220"/>
      <c r="J36" s="19" t="s">
        <v>30</v>
      </c>
      <c r="K36" s="1"/>
      <c r="L36" s="1"/>
      <c r="M36" s="1"/>
      <c r="N36" s="1"/>
      <c r="O36" s="1"/>
      <c r="P36" s="1"/>
      <c r="Q36" s="1"/>
      <c r="R36" s="1"/>
      <c r="S36" s="1"/>
      <c r="T36" s="1"/>
      <c r="U36" s="1"/>
      <c r="V36" s="1"/>
      <c r="W36" s="1"/>
      <c r="X36" s="1"/>
      <c r="Y36" s="1"/>
      <c r="Z36" s="1"/>
    </row>
    <row r="37" spans="1:26" ht="12" customHeight="1">
      <c r="A37" s="231" t="s">
        <v>33</v>
      </c>
      <c r="B37" s="223"/>
      <c r="C37" s="223"/>
      <c r="D37" s="220"/>
      <c r="E37" s="231" t="s">
        <v>33</v>
      </c>
      <c r="F37" s="223"/>
      <c r="G37" s="220"/>
      <c r="H37" s="19" t="s">
        <v>33</v>
      </c>
      <c r="I37" s="21" t="s">
        <v>32</v>
      </c>
      <c r="J37" s="19" t="s">
        <v>34</v>
      </c>
      <c r="K37" s="1"/>
      <c r="L37" s="1"/>
      <c r="M37" s="1"/>
      <c r="N37" s="1"/>
      <c r="O37" s="1"/>
      <c r="P37" s="1"/>
      <c r="Q37" s="1"/>
      <c r="R37" s="1"/>
      <c r="S37" s="1"/>
      <c r="T37" s="1"/>
      <c r="U37" s="1"/>
      <c r="V37" s="1"/>
      <c r="W37" s="1"/>
      <c r="X37" s="1"/>
      <c r="Y37" s="1"/>
      <c r="Z37" s="1"/>
    </row>
    <row r="38" spans="1:26" ht="12" customHeight="1">
      <c r="A38" s="272"/>
      <c r="B38" s="215"/>
      <c r="C38" s="215"/>
      <c r="D38" s="216"/>
      <c r="E38" s="270" t="str">
        <f>IF(A38=0," ",0.5*$D$10-$A$38)</f>
        <v xml:space="preserve"> </v>
      </c>
      <c r="F38" s="223"/>
      <c r="G38" s="220"/>
      <c r="H38" s="90">
        <f>I38*$D$10</f>
        <v>0</v>
      </c>
      <c r="I38" s="36">
        <v>0.25</v>
      </c>
      <c r="J38" s="27" t="str">
        <f>IF(A38=0," ",IF(H38&gt;=ABS($E38),"Y","N"))</f>
        <v xml:space="preserve"> </v>
      </c>
      <c r="K38" s="1"/>
      <c r="L38" s="1"/>
      <c r="M38" s="1"/>
      <c r="N38" s="1"/>
      <c r="O38" s="1"/>
      <c r="P38" s="1"/>
      <c r="Q38" s="1"/>
      <c r="R38" s="1"/>
      <c r="S38" s="1"/>
      <c r="T38" s="1"/>
      <c r="U38" s="1"/>
      <c r="V38" s="1"/>
      <c r="W38" s="1"/>
      <c r="X38" s="1"/>
      <c r="Y38" s="1"/>
      <c r="Z38" s="1"/>
    </row>
    <row r="39" spans="1:26" ht="12" customHeight="1">
      <c r="A39" s="7"/>
      <c r="B39" s="7"/>
      <c r="C39" s="1"/>
      <c r="D39" s="1"/>
      <c r="E39" s="1"/>
      <c r="F39" s="1"/>
      <c r="G39" s="1"/>
      <c r="H39" s="1"/>
      <c r="I39" s="6" t="str">
        <f>IF($D$13="English","Test passed?","Test bestanden?")</f>
        <v>Test passed?</v>
      </c>
      <c r="J39" s="27" t="str">
        <f>IF(J38="Y","Y","N")</f>
        <v>N</v>
      </c>
      <c r="K39" s="1"/>
      <c r="L39" s="1"/>
      <c r="M39" s="1"/>
      <c r="N39" s="1"/>
      <c r="O39" s="1"/>
      <c r="P39" s="1"/>
      <c r="Q39" s="1"/>
      <c r="R39" s="1"/>
      <c r="S39" s="1"/>
      <c r="T39" s="1"/>
      <c r="U39" s="1"/>
      <c r="V39" s="1"/>
      <c r="W39" s="1"/>
      <c r="X39" s="1"/>
      <c r="Y39" s="1"/>
      <c r="Z39" s="1"/>
    </row>
    <row r="40" spans="1:26" ht="12" customHeight="1">
      <c r="A40" s="1"/>
      <c r="B40" s="1"/>
      <c r="C40" s="1"/>
      <c r="D40" s="1"/>
      <c r="E40" s="1"/>
      <c r="F40" s="1"/>
      <c r="G40" s="6"/>
      <c r="J40" s="17"/>
      <c r="K40" s="1"/>
      <c r="L40" s="1"/>
      <c r="M40" s="1"/>
      <c r="N40" s="1"/>
      <c r="O40" s="1"/>
      <c r="P40" s="1"/>
      <c r="Q40" s="1"/>
      <c r="R40" s="1"/>
      <c r="S40" s="1"/>
      <c r="T40" s="1"/>
      <c r="U40" s="1"/>
      <c r="V40" s="1"/>
      <c r="W40" s="1"/>
      <c r="X40" s="1"/>
      <c r="Y40" s="1"/>
      <c r="Z40" s="1"/>
    </row>
    <row r="41" spans="1:26" ht="12" customHeight="1">
      <c r="A41" s="297" t="str">
        <f>IF($D$13="English","4.  Weighing / Linearity Test (Indicator in hi-res mode):","4. Prüfung der Richtigkeit mit Normallast (Indikator in Hi-Res-Modus):")</f>
        <v>4.  Weighing / Linearity Test (Indicator in hi-res mode):</v>
      </c>
      <c r="B41" s="237"/>
      <c r="C41" s="237"/>
      <c r="D41" s="237"/>
      <c r="E41" s="237"/>
      <c r="F41" s="237"/>
      <c r="G41" s="237"/>
      <c r="H41" s="237"/>
      <c r="I41" s="1"/>
      <c r="J41" s="14"/>
      <c r="K41" s="1"/>
      <c r="L41" s="1"/>
      <c r="M41" s="6"/>
      <c r="N41" s="1"/>
      <c r="O41" s="1"/>
      <c r="P41" s="1"/>
      <c r="Q41" s="1"/>
      <c r="R41" s="1"/>
      <c r="S41" s="1"/>
      <c r="T41" s="1"/>
      <c r="U41" s="1"/>
      <c r="V41" s="1"/>
      <c r="W41" s="1"/>
      <c r="X41" s="1"/>
      <c r="Y41" s="1"/>
      <c r="Z41" s="1"/>
    </row>
    <row r="42" spans="1:26" ht="12" customHeight="1">
      <c r="A42" s="298"/>
      <c r="B42" s="298"/>
      <c r="C42" s="298"/>
      <c r="D42" s="298"/>
      <c r="E42" s="298"/>
      <c r="F42" s="298"/>
      <c r="G42" s="298"/>
      <c r="H42" s="298"/>
      <c r="I42" s="1" t="str">
        <f>IF($D$13="English","accordance to EN45501-2015, A.4.4.1","gemäß EN45501-2015, A.4.4.1")</f>
        <v>accordance to EN45501-2015, A.4.4.1</v>
      </c>
      <c r="J42" s="14"/>
      <c r="K42" s="1"/>
      <c r="L42" s="1"/>
      <c r="M42" s="6"/>
      <c r="N42" s="1"/>
      <c r="O42" s="1"/>
      <c r="P42" s="1"/>
      <c r="Q42" s="1"/>
      <c r="R42" s="1"/>
      <c r="S42" s="1"/>
      <c r="T42" s="1"/>
      <c r="U42" s="1"/>
      <c r="V42" s="1"/>
      <c r="W42" s="1"/>
      <c r="X42" s="1"/>
      <c r="Y42" s="1"/>
      <c r="Z42" s="1"/>
    </row>
    <row r="43" spans="1:26" ht="12" customHeight="1">
      <c r="A43" s="234" t="str">
        <f>IF($D$13="English","load must be about","ungefähre Last")</f>
        <v>load must be about</v>
      </c>
      <c r="B43" s="223"/>
      <c r="C43" s="220"/>
      <c r="D43" s="231" t="s">
        <v>26</v>
      </c>
      <c r="E43" s="223"/>
      <c r="F43" s="220"/>
      <c r="G43" s="231" t="s">
        <v>27</v>
      </c>
      <c r="H43" s="220"/>
      <c r="I43" s="231" t="s">
        <v>101</v>
      </c>
      <c r="J43" s="220"/>
      <c r="K43" s="231" t="s">
        <v>29</v>
      </c>
      <c r="L43" s="220"/>
      <c r="M43" s="232" t="s">
        <v>126</v>
      </c>
      <c r="N43" s="223"/>
      <c r="O43" s="220"/>
      <c r="P43" s="19" t="s">
        <v>30</v>
      </c>
      <c r="Q43" s="1"/>
      <c r="R43" s="1"/>
      <c r="S43" s="1"/>
      <c r="T43" s="1"/>
      <c r="U43" s="1"/>
      <c r="V43" s="1"/>
      <c r="W43" s="1"/>
      <c r="X43" s="1"/>
      <c r="Y43" s="1"/>
      <c r="Z43" s="1"/>
    </row>
    <row r="44" spans="1:26" ht="12" customHeight="1">
      <c r="A44" s="19" t="s">
        <v>32</v>
      </c>
      <c r="B44" s="239" t="s">
        <v>33</v>
      </c>
      <c r="C44" s="220"/>
      <c r="D44" s="19" t="s">
        <v>32</v>
      </c>
      <c r="E44" s="239" t="s">
        <v>33</v>
      </c>
      <c r="F44" s="220"/>
      <c r="G44" s="231" t="s">
        <v>33</v>
      </c>
      <c r="H44" s="220"/>
      <c r="I44" s="231" t="s">
        <v>33</v>
      </c>
      <c r="J44" s="223"/>
      <c r="K44" s="19" t="s">
        <v>33</v>
      </c>
      <c r="L44" s="21" t="s">
        <v>32</v>
      </c>
      <c r="M44" s="231" t="s">
        <v>33</v>
      </c>
      <c r="N44" s="223"/>
      <c r="O44" s="223"/>
      <c r="P44" s="19" t="s">
        <v>34</v>
      </c>
      <c r="Q44" s="1"/>
      <c r="R44" s="1"/>
      <c r="S44" s="1"/>
      <c r="T44" s="1"/>
      <c r="U44" s="1"/>
      <c r="V44" s="1"/>
      <c r="W44" s="1"/>
      <c r="X44" s="1"/>
      <c r="Y44" s="1"/>
      <c r="Z44" s="1"/>
    </row>
    <row r="45" spans="1:26" ht="12" customHeight="1">
      <c r="A45" s="38">
        <v>20</v>
      </c>
      <c r="B45" s="365">
        <f>A45*$D$10</f>
        <v>0</v>
      </c>
      <c r="C45" s="220"/>
      <c r="D45" s="24" t="str">
        <f t="shared" ref="D45:D53" si="7">IF($D$10=0,"-",E45/$D$10)</f>
        <v>-</v>
      </c>
      <c r="E45" s="269"/>
      <c r="F45" s="216"/>
      <c r="G45" s="269"/>
      <c r="H45" s="216"/>
      <c r="I45" s="270" t="str">
        <f t="shared" ref="I45:I53" si="8">IF(G45=0," ",(G45-E45))</f>
        <v xml:space="preserve"> </v>
      </c>
      <c r="J45" s="220"/>
      <c r="K45" s="82">
        <f t="shared" ref="K45:K53" si="9">IF(L45=" "," ",L45*$D$10)</f>
        <v>0</v>
      </c>
      <c r="L45" s="26">
        <f t="shared" ref="L45:L53" si="10">IF(D45&lt;=500,0.5,(IF(D45&lt;=2000,1,IF(D45&gt;2000,1.5," "))))</f>
        <v>1.5</v>
      </c>
      <c r="M45" s="270" t="str">
        <f t="shared" ref="M45:M53" si="11">IF(E45=0," ",IF($E$31=" "," ",ROUND(I45-$E$31,3)))</f>
        <v xml:space="preserve"> </v>
      </c>
      <c r="N45" s="223"/>
      <c r="O45" s="220"/>
      <c r="P45" s="27" t="str">
        <f t="shared" ref="P45:P53" si="12">IF(M45=" "," ",IF(ABS(M45)&lt;=K45,"Y","N"))</f>
        <v xml:space="preserve"> </v>
      </c>
      <c r="Q45" s="1"/>
      <c r="R45" s="1"/>
      <c r="S45" s="1"/>
      <c r="T45" s="1"/>
      <c r="U45" s="1"/>
      <c r="V45" s="1"/>
      <c r="W45" s="1"/>
      <c r="X45" s="1"/>
      <c r="Y45" s="1"/>
      <c r="Z45" s="1"/>
    </row>
    <row r="46" spans="1:26" ht="12" customHeight="1">
      <c r="A46" s="24" t="str">
        <f>IF($D$10=0,"-",IF($D$9/$D$10=500,100,IF($D$9/$D$10&lt;=1000,100,IF($D$9/$D$10&lt;=2000,200,500))))</f>
        <v>-</v>
      </c>
      <c r="B46" s="365" t="str">
        <f t="shared" ref="B46:B52" si="13">IF($D$10=0," ",A46*$D$10)</f>
        <v xml:space="preserve"> </v>
      </c>
      <c r="C46" s="220"/>
      <c r="D46" s="24" t="str">
        <f t="shared" si="7"/>
        <v>-</v>
      </c>
      <c r="E46" s="269"/>
      <c r="F46" s="216"/>
      <c r="G46" s="269"/>
      <c r="H46" s="216"/>
      <c r="I46" s="270" t="str">
        <f t="shared" si="8"/>
        <v xml:space="preserve"> </v>
      </c>
      <c r="J46" s="220"/>
      <c r="K46" s="82">
        <f t="shared" si="9"/>
        <v>0</v>
      </c>
      <c r="L46" s="26">
        <f t="shared" si="10"/>
        <v>1.5</v>
      </c>
      <c r="M46" s="270" t="str">
        <f t="shared" si="11"/>
        <v xml:space="preserve"> </v>
      </c>
      <c r="N46" s="223"/>
      <c r="O46" s="220"/>
      <c r="P46" s="27" t="str">
        <f t="shared" si="12"/>
        <v xml:space="preserve"> </v>
      </c>
      <c r="Q46" s="1"/>
      <c r="R46" s="1"/>
      <c r="S46" s="1"/>
      <c r="T46" s="1"/>
      <c r="U46" s="1"/>
      <c r="V46" s="1"/>
      <c r="W46" s="1"/>
      <c r="X46" s="1"/>
      <c r="Y46" s="1"/>
      <c r="Z46" s="1"/>
    </row>
    <row r="47" spans="1:26" ht="12" customHeight="1">
      <c r="A47" s="24" t="str">
        <f>IF($D$10=0,"-",IF($D$9/$D$10=500,200,IF($D$9/$D$10&lt;=1000,200,IF($D$9/$D$10&lt;=2000,500,1000))))</f>
        <v>-</v>
      </c>
      <c r="B47" s="365" t="str">
        <f t="shared" si="13"/>
        <v xml:space="preserve"> </v>
      </c>
      <c r="C47" s="220"/>
      <c r="D47" s="24" t="str">
        <f t="shared" si="7"/>
        <v>-</v>
      </c>
      <c r="E47" s="269"/>
      <c r="F47" s="216"/>
      <c r="G47" s="269"/>
      <c r="H47" s="216"/>
      <c r="I47" s="270" t="str">
        <f t="shared" si="8"/>
        <v xml:space="preserve"> </v>
      </c>
      <c r="J47" s="220"/>
      <c r="K47" s="82">
        <f t="shared" si="9"/>
        <v>0</v>
      </c>
      <c r="L47" s="26">
        <f t="shared" si="10"/>
        <v>1.5</v>
      </c>
      <c r="M47" s="270" t="str">
        <f t="shared" si="11"/>
        <v xml:space="preserve"> </v>
      </c>
      <c r="N47" s="223"/>
      <c r="O47" s="220"/>
      <c r="P47" s="27" t="str">
        <f t="shared" si="12"/>
        <v xml:space="preserve"> </v>
      </c>
      <c r="Q47" s="1"/>
      <c r="R47" s="1"/>
      <c r="S47" s="1"/>
      <c r="T47" s="1"/>
      <c r="U47" s="1"/>
      <c r="V47" s="1"/>
      <c r="W47" s="1"/>
      <c r="X47" s="1"/>
      <c r="Y47" s="1"/>
      <c r="Z47" s="1"/>
    </row>
    <row r="48" spans="1:26" ht="12" customHeight="1">
      <c r="A48" s="24" t="str">
        <f>IF($D$10=0,"-",IF($D$9/$D$10=500,300,IF($D$9/$D$10&lt;=1000,500,IF($D$9/$D$10&lt;=2000,1000,2000))))</f>
        <v>-</v>
      </c>
      <c r="B48" s="365" t="str">
        <f t="shared" si="13"/>
        <v xml:space="preserve"> </v>
      </c>
      <c r="C48" s="220"/>
      <c r="D48" s="24" t="str">
        <f t="shared" si="7"/>
        <v>-</v>
      </c>
      <c r="E48" s="269"/>
      <c r="F48" s="216"/>
      <c r="G48" s="269"/>
      <c r="H48" s="216"/>
      <c r="I48" s="270" t="str">
        <f t="shared" si="8"/>
        <v xml:space="preserve"> </v>
      </c>
      <c r="J48" s="220"/>
      <c r="K48" s="82">
        <f t="shared" si="9"/>
        <v>0</v>
      </c>
      <c r="L48" s="26">
        <f t="shared" si="10"/>
        <v>1.5</v>
      </c>
      <c r="M48" s="270" t="str">
        <f t="shared" si="11"/>
        <v xml:space="preserve"> </v>
      </c>
      <c r="N48" s="223"/>
      <c r="O48" s="220"/>
      <c r="P48" s="27" t="str">
        <f t="shared" si="12"/>
        <v xml:space="preserve"> </v>
      </c>
      <c r="Q48" s="1"/>
      <c r="R48" s="1"/>
      <c r="S48" s="1"/>
      <c r="T48" s="1"/>
      <c r="U48" s="1"/>
      <c r="V48" s="1"/>
      <c r="W48" s="1"/>
      <c r="X48" s="1"/>
      <c r="Y48" s="1"/>
      <c r="Z48" s="1"/>
    </row>
    <row r="49" spans="1:26" ht="12" customHeight="1">
      <c r="A49" s="24" t="str">
        <f>IF($D$10=0,"-",$D$9/$D$10)</f>
        <v>-</v>
      </c>
      <c r="B49" s="365" t="str">
        <f t="shared" si="13"/>
        <v xml:space="preserve"> </v>
      </c>
      <c r="C49" s="220"/>
      <c r="D49" s="24" t="str">
        <f t="shared" si="7"/>
        <v>-</v>
      </c>
      <c r="E49" s="269"/>
      <c r="F49" s="216"/>
      <c r="G49" s="269"/>
      <c r="H49" s="216"/>
      <c r="I49" s="270" t="str">
        <f t="shared" si="8"/>
        <v xml:space="preserve"> </v>
      </c>
      <c r="J49" s="220"/>
      <c r="K49" s="82">
        <f t="shared" si="9"/>
        <v>0</v>
      </c>
      <c r="L49" s="26">
        <f t="shared" si="10"/>
        <v>1.5</v>
      </c>
      <c r="M49" s="270" t="str">
        <f t="shared" si="11"/>
        <v xml:space="preserve"> </v>
      </c>
      <c r="N49" s="223"/>
      <c r="O49" s="220"/>
      <c r="P49" s="27" t="str">
        <f t="shared" si="12"/>
        <v xml:space="preserve"> </v>
      </c>
      <c r="Q49" s="1"/>
      <c r="R49" s="1"/>
      <c r="S49" s="1"/>
      <c r="T49" s="1"/>
      <c r="U49" s="1"/>
      <c r="V49" s="1"/>
      <c r="W49" s="1"/>
      <c r="X49" s="1"/>
      <c r="Y49" s="1"/>
      <c r="Z49" s="1"/>
    </row>
    <row r="50" spans="1:26" ht="12" customHeight="1">
      <c r="A50" s="24" t="str">
        <f>IF($D$10=0,"-",IF($D$9/$D$10=500,300,IF($D$9/$D$10&lt;=1000,500,IF($D$9/$D$10&lt;=2000,1000,2000))))</f>
        <v>-</v>
      </c>
      <c r="B50" s="365" t="str">
        <f t="shared" si="13"/>
        <v xml:space="preserve"> </v>
      </c>
      <c r="C50" s="220"/>
      <c r="D50" s="24" t="str">
        <f t="shared" si="7"/>
        <v>-</v>
      </c>
      <c r="E50" s="270">
        <f>E48</f>
        <v>0</v>
      </c>
      <c r="F50" s="220"/>
      <c r="G50" s="269"/>
      <c r="H50" s="216"/>
      <c r="I50" s="270" t="str">
        <f t="shared" si="8"/>
        <v xml:space="preserve"> </v>
      </c>
      <c r="J50" s="220"/>
      <c r="K50" s="82">
        <f t="shared" si="9"/>
        <v>0</v>
      </c>
      <c r="L50" s="26">
        <f t="shared" si="10"/>
        <v>1.5</v>
      </c>
      <c r="M50" s="270" t="str">
        <f t="shared" si="11"/>
        <v xml:space="preserve"> </v>
      </c>
      <c r="N50" s="223"/>
      <c r="O50" s="220"/>
      <c r="P50" s="27" t="str">
        <f t="shared" si="12"/>
        <v xml:space="preserve"> </v>
      </c>
      <c r="Q50" s="1"/>
      <c r="R50" s="1"/>
      <c r="S50" s="1"/>
      <c r="T50" s="1"/>
      <c r="U50" s="1"/>
      <c r="V50" s="1"/>
      <c r="W50" s="1"/>
      <c r="X50" s="1"/>
      <c r="Y50" s="1"/>
      <c r="Z50" s="1"/>
    </row>
    <row r="51" spans="1:26" ht="12" customHeight="1">
      <c r="A51" s="24" t="str">
        <f>IF($D$10=0,"-",IF($D$9/$D$10=500,200,IF($D$9/$D$10&lt;=1000,200,IF($D$9/$D$10&lt;=2000,500,1000))))</f>
        <v>-</v>
      </c>
      <c r="B51" s="365" t="str">
        <f t="shared" si="13"/>
        <v xml:space="preserve"> </v>
      </c>
      <c r="C51" s="220"/>
      <c r="D51" s="24" t="str">
        <f t="shared" si="7"/>
        <v>-</v>
      </c>
      <c r="E51" s="270">
        <f>E47</f>
        <v>0</v>
      </c>
      <c r="F51" s="220"/>
      <c r="G51" s="269"/>
      <c r="H51" s="216"/>
      <c r="I51" s="270" t="str">
        <f t="shared" si="8"/>
        <v xml:space="preserve"> </v>
      </c>
      <c r="J51" s="220"/>
      <c r="K51" s="82">
        <f t="shared" si="9"/>
        <v>0</v>
      </c>
      <c r="L51" s="26">
        <f t="shared" si="10"/>
        <v>1.5</v>
      </c>
      <c r="M51" s="270" t="str">
        <f t="shared" si="11"/>
        <v xml:space="preserve"> </v>
      </c>
      <c r="N51" s="223"/>
      <c r="O51" s="220"/>
      <c r="P51" s="27" t="str">
        <f t="shared" si="12"/>
        <v xml:space="preserve"> </v>
      </c>
      <c r="Q51" s="1"/>
      <c r="R51" s="1"/>
      <c r="S51" s="1"/>
      <c r="T51" s="1"/>
      <c r="U51" s="1"/>
      <c r="V51" s="1"/>
      <c r="W51" s="1"/>
      <c r="X51" s="1"/>
      <c r="Y51" s="1"/>
      <c r="Z51" s="1"/>
    </row>
    <row r="52" spans="1:26" ht="12" customHeight="1">
      <c r="A52" s="24" t="str">
        <f>IF($D$10=0,"-",IF($D$9/$D$10=500,100,IF($D$9/$D$10&lt;=1000,100,IF($D$9/$D$10&lt;=2000,200,500))))</f>
        <v>-</v>
      </c>
      <c r="B52" s="365" t="str">
        <f t="shared" si="13"/>
        <v xml:space="preserve"> </v>
      </c>
      <c r="C52" s="220"/>
      <c r="D52" s="24" t="str">
        <f t="shared" si="7"/>
        <v>-</v>
      </c>
      <c r="E52" s="270">
        <f>E46</f>
        <v>0</v>
      </c>
      <c r="F52" s="220"/>
      <c r="G52" s="269"/>
      <c r="H52" s="216"/>
      <c r="I52" s="270" t="str">
        <f t="shared" si="8"/>
        <v xml:space="preserve"> </v>
      </c>
      <c r="J52" s="220"/>
      <c r="K52" s="82">
        <f t="shared" si="9"/>
        <v>0</v>
      </c>
      <c r="L52" s="26">
        <f t="shared" si="10"/>
        <v>1.5</v>
      </c>
      <c r="M52" s="270" t="str">
        <f t="shared" si="11"/>
        <v xml:space="preserve"> </v>
      </c>
      <c r="N52" s="223"/>
      <c r="O52" s="220"/>
      <c r="P52" s="27" t="str">
        <f t="shared" si="12"/>
        <v xml:space="preserve"> </v>
      </c>
      <c r="Q52" s="1"/>
      <c r="R52" s="1"/>
      <c r="S52" s="1"/>
      <c r="T52" s="1"/>
      <c r="U52" s="1"/>
      <c r="V52" s="1"/>
      <c r="W52" s="1"/>
      <c r="X52" s="1"/>
      <c r="Y52" s="1"/>
      <c r="Z52" s="1"/>
    </row>
    <row r="53" spans="1:26" ht="12" customHeight="1">
      <c r="A53" s="24">
        <v>20</v>
      </c>
      <c r="B53" s="365">
        <f>A53*$D$10</f>
        <v>0</v>
      </c>
      <c r="C53" s="220"/>
      <c r="D53" s="24" t="str">
        <f t="shared" si="7"/>
        <v>-</v>
      </c>
      <c r="E53" s="270">
        <f>E45</f>
        <v>0</v>
      </c>
      <c r="F53" s="220"/>
      <c r="G53" s="269"/>
      <c r="H53" s="216"/>
      <c r="I53" s="270" t="str">
        <f t="shared" si="8"/>
        <v xml:space="preserve"> </v>
      </c>
      <c r="J53" s="220"/>
      <c r="K53" s="82">
        <f t="shared" si="9"/>
        <v>0</v>
      </c>
      <c r="L53" s="26">
        <f t="shared" si="10"/>
        <v>1.5</v>
      </c>
      <c r="M53" s="270" t="str">
        <f t="shared" si="11"/>
        <v xml:space="preserve"> </v>
      </c>
      <c r="N53" s="223"/>
      <c r="O53" s="220"/>
      <c r="P53" s="27" t="str">
        <f t="shared" si="12"/>
        <v xml:space="preserve"> </v>
      </c>
      <c r="Q53" s="1"/>
      <c r="R53" s="1"/>
      <c r="S53" s="1"/>
      <c r="T53" s="1"/>
      <c r="U53" s="1"/>
      <c r="V53" s="1"/>
      <c r="W53" s="1"/>
      <c r="X53" s="1"/>
      <c r="Y53" s="1"/>
      <c r="Z53" s="1"/>
    </row>
    <row r="54" spans="1:26" ht="12" customHeight="1">
      <c r="A54" s="28"/>
      <c r="B54" s="31"/>
      <c r="C54" s="32"/>
      <c r="D54" s="1"/>
      <c r="E54" s="1"/>
      <c r="F54" s="1"/>
      <c r="G54" s="1"/>
      <c r="H54" s="1"/>
      <c r="I54" s="1"/>
      <c r="J54" s="1"/>
      <c r="K54" s="93"/>
      <c r="L54" s="93"/>
      <c r="M54" s="1"/>
      <c r="N54" s="1"/>
      <c r="O54" s="3" t="str">
        <f>IF($D$13="English","Test passed?","Test bestanden?")</f>
        <v>Test passed?</v>
      </c>
      <c r="P54" s="27" t="str">
        <f>IF(AND(P45="Y",P46= "Y", P47="Y",P48="Y",P49="Y",P50="Y",P51="Y",P52="Y",P53="Y"),"Y","N")</f>
        <v>N</v>
      </c>
      <c r="Q54" s="1"/>
      <c r="R54" s="1"/>
      <c r="S54" s="1"/>
      <c r="T54" s="1"/>
      <c r="U54" s="1"/>
      <c r="V54" s="1"/>
      <c r="W54" s="1"/>
      <c r="X54" s="1"/>
      <c r="Y54" s="1"/>
      <c r="Z54" s="1"/>
    </row>
    <row r="55" spans="1:26" ht="12" customHeight="1">
      <c r="A55" s="48"/>
      <c r="B55" s="31"/>
      <c r="C55" s="32"/>
      <c r="D55" s="1"/>
      <c r="E55" s="1"/>
      <c r="F55" s="1"/>
      <c r="G55" s="1"/>
      <c r="H55" s="1"/>
      <c r="I55" s="1"/>
      <c r="J55" s="1"/>
      <c r="M55" s="1"/>
      <c r="N55" s="1"/>
      <c r="O55" s="6"/>
      <c r="P55" s="125"/>
      <c r="Q55" s="1"/>
      <c r="R55" s="1"/>
      <c r="S55" s="1"/>
      <c r="T55" s="1"/>
      <c r="U55" s="1"/>
      <c r="V55" s="1"/>
      <c r="W55" s="1"/>
      <c r="X55" s="1"/>
      <c r="Y55" s="1"/>
      <c r="Z55" s="1"/>
    </row>
    <row r="56" spans="1:26" ht="12" customHeight="1">
      <c r="A56" s="257" t="str">
        <f>IF($D$13="English","If the maximum calculated error in Weighing Test is less or equal to 0,5e, no additional Tare Test has to be performed. ","Wenn der kalkulierte maximale Fehler im Linearitätstest kleiner oder gleich 0,5e ist, muss kein zusätzlich Tara Test durchgeführt werden. ")</f>
        <v xml:space="preserve">If the maximum calculated error in Weighing Test is less or equal to 0,5e, no additional Tare Test has to be performed. </v>
      </c>
      <c r="B56" s="237"/>
      <c r="C56" s="237"/>
      <c r="D56" s="237"/>
      <c r="E56" s="237"/>
      <c r="F56" s="237"/>
      <c r="G56" s="237"/>
      <c r="H56" s="237"/>
      <c r="I56" s="237"/>
      <c r="J56" s="237"/>
      <c r="K56" s="237"/>
      <c r="L56" s="237"/>
      <c r="M56" s="237"/>
      <c r="N56" s="237"/>
      <c r="O56" s="237"/>
      <c r="P56" s="237"/>
      <c r="Q56" s="1"/>
      <c r="R56" s="1"/>
      <c r="S56" s="1"/>
      <c r="T56" s="1"/>
      <c r="U56" s="1"/>
      <c r="V56" s="1"/>
      <c r="W56" s="1"/>
      <c r="X56" s="1"/>
      <c r="Y56" s="1"/>
      <c r="Z56" s="1"/>
    </row>
    <row r="57" spans="1:26" ht="12" customHeight="1">
      <c r="A57" s="237"/>
      <c r="B57" s="237"/>
      <c r="C57" s="237"/>
      <c r="D57" s="237"/>
      <c r="E57" s="237"/>
      <c r="F57" s="237"/>
      <c r="G57" s="237"/>
      <c r="H57" s="237"/>
      <c r="I57" s="237"/>
      <c r="J57" s="237"/>
      <c r="K57" s="237"/>
      <c r="L57" s="237"/>
      <c r="M57" s="237"/>
      <c r="N57" s="237"/>
      <c r="O57" s="237"/>
      <c r="P57" s="237"/>
      <c r="Q57" s="1"/>
      <c r="R57" s="1"/>
      <c r="S57" s="1"/>
      <c r="T57" s="1"/>
      <c r="U57" s="1"/>
      <c r="V57" s="1"/>
      <c r="W57" s="1"/>
      <c r="X57" s="1"/>
      <c r="Y57" s="1"/>
      <c r="Z57" s="1"/>
    </row>
    <row r="58" spans="1:26" ht="12" customHeight="1">
      <c r="A58" s="48" t="str">
        <f>IF($D$13="English","Does Test 5 have to be performed? ","Muss Test 5 durchgeführt werden? ")</f>
        <v xml:space="preserve">Does Test 5 have to be performed? </v>
      </c>
      <c r="B58" s="39"/>
      <c r="C58" s="39"/>
      <c r="D58" s="39"/>
      <c r="E58" s="39"/>
      <c r="F58" s="27" t="e">
        <f>IF(AND(ABS(M45)&lt;=0.5*$D$10,ABS(M46)&lt;=0.5*$D$10,ABS(M47)&lt;=0.5*$D$10,ABS(M48)&lt;=0.5*$D$10,ABS(M49)&lt;=0.5*$D$10,ABS(M50)&lt;=0.5*$D$10,ABS(M51)&lt;=0.5*$D$10,ABS(M52)&lt;=0.5*$D$10,ABS(M53)&lt;=0.5*$D$10),"N","Y")</f>
        <v>#VALUE!</v>
      </c>
      <c r="G58" s="39"/>
      <c r="H58" s="39"/>
      <c r="I58" s="39"/>
      <c r="J58" s="39"/>
      <c r="K58" s="39"/>
      <c r="L58" s="39"/>
      <c r="M58" s="39"/>
      <c r="N58" s="39"/>
      <c r="O58" s="39"/>
      <c r="P58" s="39"/>
      <c r="Q58" s="1"/>
      <c r="R58" s="1"/>
      <c r="S58" s="1"/>
      <c r="T58" s="1"/>
      <c r="U58" s="1"/>
      <c r="V58" s="1"/>
      <c r="W58" s="1"/>
      <c r="X58" s="1"/>
      <c r="Y58" s="1"/>
      <c r="Z58" s="1"/>
    </row>
    <row r="59" spans="1:26" ht="12" customHeight="1">
      <c r="A59" s="48"/>
      <c r="B59" s="39"/>
      <c r="C59" s="39"/>
      <c r="D59" s="39"/>
      <c r="E59" s="39"/>
      <c r="F59" s="140"/>
      <c r="G59" s="39"/>
      <c r="H59" s="39"/>
      <c r="I59" s="39"/>
      <c r="J59" s="39"/>
      <c r="K59" s="39"/>
      <c r="L59" s="39"/>
      <c r="M59" s="39"/>
      <c r="N59" s="39"/>
      <c r="O59" s="39"/>
      <c r="P59" s="39"/>
      <c r="Q59" s="1"/>
      <c r="R59" s="1"/>
      <c r="S59" s="1"/>
      <c r="T59" s="1"/>
      <c r="U59" s="1"/>
      <c r="V59" s="1"/>
      <c r="W59" s="1"/>
      <c r="X59" s="1"/>
      <c r="Y59" s="1"/>
      <c r="Z59" s="1"/>
    </row>
    <row r="60" spans="1:26" ht="12" customHeight="1">
      <c r="A60" s="48"/>
      <c r="B60" s="39"/>
      <c r="C60" s="39"/>
      <c r="D60" s="39"/>
      <c r="E60" s="39"/>
      <c r="F60" s="140"/>
      <c r="G60" s="39"/>
      <c r="H60" s="39"/>
      <c r="I60" s="39"/>
      <c r="J60" s="39"/>
      <c r="K60" s="39"/>
      <c r="L60" s="39"/>
      <c r="M60" s="39"/>
      <c r="N60" s="39"/>
      <c r="O60" s="39"/>
      <c r="P60" s="39"/>
      <c r="Q60" s="1"/>
      <c r="R60" s="1"/>
      <c r="S60" s="1"/>
      <c r="T60" s="1"/>
      <c r="U60" s="1"/>
      <c r="V60" s="1"/>
      <c r="W60" s="1"/>
      <c r="X60" s="1"/>
      <c r="Y60" s="1"/>
      <c r="Z60" s="1"/>
    </row>
    <row r="61" spans="1:26" ht="12" customHeight="1">
      <c r="A61" s="48"/>
      <c r="B61" s="39"/>
      <c r="C61" s="39"/>
      <c r="D61" s="39"/>
      <c r="E61" s="39"/>
      <c r="F61" s="140"/>
      <c r="G61" s="39"/>
      <c r="H61" s="39"/>
      <c r="I61" s="39"/>
      <c r="J61" s="39"/>
      <c r="K61" s="39"/>
      <c r="L61" s="39"/>
      <c r="M61" s="39"/>
      <c r="N61" s="39"/>
      <c r="O61" s="39"/>
      <c r="P61" s="39"/>
      <c r="Q61" s="1"/>
      <c r="R61" s="1"/>
      <c r="S61" s="1"/>
      <c r="T61" s="1"/>
      <c r="U61" s="1"/>
      <c r="V61" s="1"/>
      <c r="W61" s="1"/>
      <c r="X61" s="1"/>
      <c r="Y61" s="1"/>
      <c r="Z61" s="1"/>
    </row>
    <row r="62" spans="1:26" ht="12" customHeight="1">
      <c r="A62" s="48"/>
      <c r="B62" s="39"/>
      <c r="C62" s="39"/>
      <c r="D62" s="39"/>
      <c r="E62" s="39"/>
      <c r="F62" s="140"/>
      <c r="G62" s="39"/>
      <c r="H62" s="39"/>
      <c r="I62" s="39"/>
      <c r="J62" s="39"/>
      <c r="K62" s="39"/>
      <c r="L62" s="39"/>
      <c r="M62" s="39"/>
      <c r="N62" s="39"/>
      <c r="O62" s="39"/>
      <c r="P62" s="39"/>
      <c r="Q62" s="1"/>
      <c r="R62" s="1"/>
      <c r="S62" s="1"/>
      <c r="T62" s="1"/>
      <c r="U62" s="1"/>
      <c r="V62" s="1"/>
      <c r="W62" s="1"/>
      <c r="X62" s="1"/>
      <c r="Y62" s="1"/>
      <c r="Z62" s="1"/>
    </row>
    <row r="63" spans="1:26" ht="12" customHeight="1">
      <c r="A63" s="39"/>
      <c r="B63" s="39"/>
      <c r="C63" s="39"/>
      <c r="D63" s="39"/>
      <c r="E63" s="39"/>
      <c r="F63" s="39"/>
      <c r="G63" s="39"/>
      <c r="H63" s="39"/>
      <c r="I63" s="39"/>
      <c r="J63" s="39"/>
      <c r="K63" s="39"/>
      <c r="L63" s="39"/>
      <c r="M63" s="39"/>
      <c r="N63" s="39"/>
      <c r="O63" s="39"/>
      <c r="P63" s="39"/>
      <c r="Q63" s="1"/>
      <c r="R63" s="1"/>
      <c r="S63" s="1"/>
      <c r="T63" s="1"/>
      <c r="U63" s="1"/>
      <c r="V63" s="1"/>
      <c r="W63" s="1"/>
      <c r="X63" s="1"/>
      <c r="Y63" s="1"/>
      <c r="Z63" s="1"/>
    </row>
    <row r="64" spans="1:26" ht="12" customHeight="1">
      <c r="A64" s="7" t="str">
        <f>IF($D$13="English","5.  Tare (Weighing Test) - Indicator in hi-res mode:","5. Tara (Richtigkeitsprüfung) - Indikator in Hi-Res-Modus:")</f>
        <v>5.  Tare (Weighing Test) - Indicator in hi-res mode:</v>
      </c>
      <c r="B64" s="50"/>
      <c r="C64" s="50"/>
      <c r="D64" s="50"/>
      <c r="E64" s="50"/>
      <c r="F64" s="50"/>
      <c r="G64" s="50"/>
      <c r="H64" s="1" t="str">
        <f>IF($D$13="English","accordance to EN45501-2015, A.4.6.1","gemäß EN45501-2015, A.4.6.1")</f>
        <v>accordance to EN45501-2015, A.4.6.1</v>
      </c>
      <c r="I64" s="50"/>
      <c r="J64" s="50"/>
      <c r="K64" s="50"/>
      <c r="L64" s="50"/>
      <c r="M64" s="50"/>
      <c r="N64" s="50"/>
      <c r="O64" s="50"/>
      <c r="P64" s="50"/>
      <c r="Q64" s="1"/>
      <c r="R64" s="1"/>
      <c r="S64" s="1"/>
      <c r="T64" s="1"/>
      <c r="U64" s="1"/>
      <c r="V64" s="1"/>
      <c r="W64" s="1"/>
      <c r="X64" s="1"/>
      <c r="Y64" s="1"/>
      <c r="Z64" s="1"/>
    </row>
    <row r="65" spans="1:26" ht="12" customHeight="1">
      <c r="A65" s="258" t="str">
        <f>IF($D$13="English","Tare a load between 1/3 Max and 2/3 Max and test up to Max.at 5 load points. Please test at the loads where mpe changes.","Last zwischen 1/3 und 2/3 Max tarieren und bis zur Maximallast bei 5 Lastpunkten prüfen. Bei den Lasten, bei denen sich mpe ändert, muss geprüft werden. ")</f>
        <v>Tare a load between 1/3 Max and 2/3 Max and test up to Max.at 5 load points. Please test at the loads where mpe changes.</v>
      </c>
      <c r="B65" s="237"/>
      <c r="C65" s="237"/>
      <c r="D65" s="237"/>
      <c r="E65" s="237"/>
      <c r="F65" s="237"/>
      <c r="G65" s="237"/>
      <c r="H65" s="237"/>
      <c r="I65" s="237"/>
      <c r="J65" s="237"/>
      <c r="K65" s="237"/>
      <c r="L65" s="237"/>
      <c r="M65" s="237"/>
      <c r="N65" s="237"/>
      <c r="O65" s="237"/>
      <c r="P65" s="237"/>
      <c r="Q65" s="1"/>
      <c r="R65" s="1"/>
      <c r="S65" s="1"/>
      <c r="T65" s="1"/>
      <c r="U65" s="1"/>
      <c r="V65" s="1"/>
      <c r="W65" s="1"/>
      <c r="X65" s="1"/>
      <c r="Y65" s="1"/>
      <c r="Z65" s="1"/>
    </row>
    <row r="66" spans="1:26" ht="12" customHeight="1">
      <c r="A66" s="237"/>
      <c r="B66" s="237"/>
      <c r="C66" s="237"/>
      <c r="D66" s="237"/>
      <c r="E66" s="237"/>
      <c r="F66" s="237"/>
      <c r="G66" s="237"/>
      <c r="H66" s="237"/>
      <c r="I66" s="237"/>
      <c r="J66" s="237"/>
      <c r="K66" s="237"/>
      <c r="L66" s="237"/>
      <c r="M66" s="237"/>
      <c r="N66" s="237"/>
      <c r="O66" s="237"/>
      <c r="P66" s="237"/>
      <c r="Q66" s="1"/>
      <c r="R66" s="1"/>
      <c r="S66" s="1"/>
      <c r="T66" s="1"/>
      <c r="U66" s="1"/>
      <c r="V66" s="1"/>
      <c r="W66" s="1"/>
      <c r="X66" s="1"/>
      <c r="Y66" s="1"/>
      <c r="Z66" s="1"/>
    </row>
    <row r="67" spans="1:26" ht="12" customHeight="1">
      <c r="A67" s="7" t="str">
        <f>IF($D$13="English","Tared load:","Tarierte Last:")</f>
        <v>Tared load:</v>
      </c>
      <c r="B67" s="31"/>
      <c r="C67" s="217"/>
      <c r="D67" s="216"/>
      <c r="E67" s="1" t="s">
        <v>33</v>
      </c>
      <c r="F67" s="1"/>
      <c r="G67" s="6"/>
      <c r="H67" s="1"/>
      <c r="J67" s="17"/>
      <c r="K67" s="1"/>
      <c r="L67" s="1"/>
      <c r="M67" s="1"/>
      <c r="N67" s="1"/>
      <c r="O67" s="1"/>
      <c r="P67" s="1"/>
      <c r="Q67" s="1"/>
      <c r="R67" s="1"/>
      <c r="S67" s="1"/>
      <c r="T67" s="1"/>
      <c r="U67" s="1"/>
      <c r="V67" s="1"/>
      <c r="W67" s="1"/>
      <c r="X67" s="1"/>
      <c r="Y67" s="1"/>
      <c r="Z67" s="1"/>
    </row>
    <row r="68" spans="1:26" ht="12" customHeight="1">
      <c r="A68" s="231" t="s">
        <v>26</v>
      </c>
      <c r="B68" s="223"/>
      <c r="C68" s="220"/>
      <c r="D68" s="19" t="s">
        <v>72</v>
      </c>
      <c r="E68" s="231" t="s">
        <v>27</v>
      </c>
      <c r="F68" s="220"/>
      <c r="G68" s="231" t="s">
        <v>73</v>
      </c>
      <c r="H68" s="220"/>
      <c r="I68" s="18" t="s">
        <v>29</v>
      </c>
      <c r="J68" s="21"/>
      <c r="K68" s="232" t="s">
        <v>127</v>
      </c>
      <c r="L68" s="223"/>
      <c r="M68" s="220"/>
      <c r="N68" s="19" t="s">
        <v>30</v>
      </c>
      <c r="O68" s="1"/>
      <c r="P68" s="1"/>
      <c r="Q68" s="1"/>
      <c r="R68" s="1"/>
      <c r="S68" s="1"/>
      <c r="T68" s="1"/>
      <c r="U68" s="1"/>
      <c r="V68" s="1"/>
      <c r="W68" s="1"/>
      <c r="X68" s="1"/>
      <c r="Y68" s="1"/>
      <c r="Z68" s="1"/>
    </row>
    <row r="69" spans="1:26" ht="12" customHeight="1">
      <c r="A69" s="259" t="s">
        <v>33</v>
      </c>
      <c r="B69" s="223"/>
      <c r="C69" s="220"/>
      <c r="D69" s="51"/>
      <c r="E69" s="231" t="s">
        <v>33</v>
      </c>
      <c r="F69" s="220"/>
      <c r="G69" s="256" t="s">
        <v>33</v>
      </c>
      <c r="H69" s="220"/>
      <c r="I69" s="52" t="s">
        <v>33</v>
      </c>
      <c r="J69" s="52" t="s">
        <v>32</v>
      </c>
      <c r="K69" s="231" t="s">
        <v>33</v>
      </c>
      <c r="L69" s="223"/>
      <c r="M69" s="223"/>
      <c r="N69" s="19" t="s">
        <v>34</v>
      </c>
      <c r="O69" s="1"/>
      <c r="P69" s="1"/>
      <c r="Q69" s="1"/>
      <c r="R69" s="1"/>
      <c r="S69" s="1"/>
      <c r="T69" s="1"/>
      <c r="U69" s="1"/>
      <c r="V69" s="1"/>
      <c r="W69" s="1"/>
      <c r="X69" s="1"/>
      <c r="Y69" s="1"/>
      <c r="Z69" s="1"/>
    </row>
    <row r="70" spans="1:26" ht="12" customHeight="1">
      <c r="A70" s="276"/>
      <c r="B70" s="215"/>
      <c r="C70" s="216"/>
      <c r="D70" s="51" t="str">
        <f t="shared" ref="D70:D78" si="14">IF($D$10=0," ",A70/$D$10)</f>
        <v xml:space="preserve"> </v>
      </c>
      <c r="E70" s="276"/>
      <c r="F70" s="216"/>
      <c r="G70" s="277" t="str">
        <f t="shared" ref="G70:G78" si="15">IF($A70=0," ",IF($D$10=0," ",E70-A70))</f>
        <v xml:space="preserve"> </v>
      </c>
      <c r="H70" s="220"/>
      <c r="I70" s="90" t="str">
        <f t="shared" ref="I70:I78" si="16">IF($D$9=0," ",J70*$D$10)</f>
        <v xml:space="preserve"> </v>
      </c>
      <c r="J70" s="26">
        <f t="shared" ref="J70:J78" si="17">IF(D70=0,0,IF(D70&lt;=500,0.5,(IF(D70&lt;=2000,1,IF(D70&gt;2000,1.5," ")))))</f>
        <v>1.5</v>
      </c>
      <c r="K70" s="270" t="str">
        <f t="shared" ref="K70:K78" si="18">IF(E70=0," ",IF($E$38=" "," ",ROUND(G70-$E$38,3)))</f>
        <v xml:space="preserve"> </v>
      </c>
      <c r="L70" s="223"/>
      <c r="M70" s="220"/>
      <c r="N70" s="27" t="str">
        <f t="shared" ref="N70:N78" si="19">IF(K70=" "," ",IF(ABS(K70)&lt;=I70,"Y","N"))</f>
        <v xml:space="preserve"> </v>
      </c>
      <c r="O70" s="1"/>
      <c r="P70" s="1"/>
      <c r="Q70" s="1"/>
      <c r="R70" s="1"/>
      <c r="S70" s="1"/>
      <c r="T70" s="1"/>
      <c r="U70" s="1"/>
      <c r="V70" s="1"/>
      <c r="W70" s="1"/>
      <c r="X70" s="1"/>
      <c r="Y70" s="1"/>
      <c r="Z70" s="1"/>
    </row>
    <row r="71" spans="1:26" ht="12" customHeight="1">
      <c r="A71" s="276"/>
      <c r="B71" s="215"/>
      <c r="C71" s="216"/>
      <c r="D71" s="51" t="str">
        <f t="shared" si="14"/>
        <v xml:space="preserve"> </v>
      </c>
      <c r="E71" s="276"/>
      <c r="F71" s="216"/>
      <c r="G71" s="277" t="str">
        <f t="shared" si="15"/>
        <v xml:space="preserve"> </v>
      </c>
      <c r="H71" s="220"/>
      <c r="I71" s="90" t="str">
        <f t="shared" si="16"/>
        <v xml:space="preserve"> </v>
      </c>
      <c r="J71" s="26">
        <f t="shared" si="17"/>
        <v>1.5</v>
      </c>
      <c r="K71" s="270" t="str">
        <f t="shared" si="18"/>
        <v xml:space="preserve"> </v>
      </c>
      <c r="L71" s="223"/>
      <c r="M71" s="220"/>
      <c r="N71" s="27" t="str">
        <f t="shared" si="19"/>
        <v xml:space="preserve"> </v>
      </c>
      <c r="O71" s="1"/>
      <c r="P71" s="1"/>
      <c r="Q71" s="1"/>
      <c r="R71" s="1"/>
      <c r="S71" s="1"/>
      <c r="T71" s="1"/>
      <c r="U71" s="1"/>
      <c r="V71" s="1"/>
      <c r="W71" s="1"/>
      <c r="X71" s="1"/>
      <c r="Y71" s="1"/>
      <c r="Z71" s="1"/>
    </row>
    <row r="72" spans="1:26" ht="12" customHeight="1">
      <c r="A72" s="276"/>
      <c r="B72" s="215"/>
      <c r="C72" s="216"/>
      <c r="D72" s="51" t="str">
        <f t="shared" si="14"/>
        <v xml:space="preserve"> </v>
      </c>
      <c r="E72" s="276"/>
      <c r="F72" s="216"/>
      <c r="G72" s="277" t="str">
        <f t="shared" si="15"/>
        <v xml:space="preserve"> </v>
      </c>
      <c r="H72" s="220"/>
      <c r="I72" s="90" t="str">
        <f t="shared" si="16"/>
        <v xml:space="preserve"> </v>
      </c>
      <c r="J72" s="26">
        <f t="shared" si="17"/>
        <v>1.5</v>
      </c>
      <c r="K72" s="270" t="str">
        <f t="shared" si="18"/>
        <v xml:space="preserve"> </v>
      </c>
      <c r="L72" s="223"/>
      <c r="M72" s="220"/>
      <c r="N72" s="27" t="str">
        <f t="shared" si="19"/>
        <v xml:space="preserve"> </v>
      </c>
      <c r="O72" s="1"/>
      <c r="P72" s="1"/>
      <c r="Q72" s="1"/>
      <c r="R72" s="1"/>
      <c r="S72" s="1"/>
      <c r="T72" s="1"/>
      <c r="U72" s="1"/>
      <c r="V72" s="1"/>
      <c r="W72" s="1"/>
      <c r="X72" s="1"/>
      <c r="Y72" s="1"/>
      <c r="Z72" s="1"/>
    </row>
    <row r="73" spans="1:26" ht="12" customHeight="1">
      <c r="A73" s="276"/>
      <c r="B73" s="215"/>
      <c r="C73" s="216"/>
      <c r="D73" s="51" t="str">
        <f t="shared" si="14"/>
        <v xml:space="preserve"> </v>
      </c>
      <c r="E73" s="276"/>
      <c r="F73" s="216"/>
      <c r="G73" s="277" t="str">
        <f t="shared" si="15"/>
        <v xml:space="preserve"> </v>
      </c>
      <c r="H73" s="220"/>
      <c r="I73" s="90" t="str">
        <f t="shared" si="16"/>
        <v xml:space="preserve"> </v>
      </c>
      <c r="J73" s="26">
        <f t="shared" si="17"/>
        <v>1.5</v>
      </c>
      <c r="K73" s="270" t="str">
        <f t="shared" si="18"/>
        <v xml:space="preserve"> </v>
      </c>
      <c r="L73" s="223"/>
      <c r="M73" s="220"/>
      <c r="N73" s="27" t="str">
        <f t="shared" si="19"/>
        <v xml:space="preserve"> </v>
      </c>
      <c r="O73" s="1"/>
      <c r="P73" s="1"/>
      <c r="Q73" s="1"/>
      <c r="R73" s="1"/>
      <c r="S73" s="1"/>
      <c r="T73" s="1"/>
      <c r="U73" s="1"/>
      <c r="V73" s="1"/>
      <c r="W73" s="1"/>
      <c r="X73" s="1"/>
      <c r="Y73" s="1"/>
      <c r="Z73" s="1"/>
    </row>
    <row r="74" spans="1:26" ht="12" customHeight="1">
      <c r="A74" s="276"/>
      <c r="B74" s="215"/>
      <c r="C74" s="216"/>
      <c r="D74" s="51" t="str">
        <f t="shared" si="14"/>
        <v xml:space="preserve"> </v>
      </c>
      <c r="E74" s="276"/>
      <c r="F74" s="216"/>
      <c r="G74" s="277" t="str">
        <f t="shared" si="15"/>
        <v xml:space="preserve"> </v>
      </c>
      <c r="H74" s="220"/>
      <c r="I74" s="90" t="str">
        <f t="shared" si="16"/>
        <v xml:space="preserve"> </v>
      </c>
      <c r="J74" s="26">
        <f t="shared" si="17"/>
        <v>1.5</v>
      </c>
      <c r="K74" s="270" t="str">
        <f t="shared" si="18"/>
        <v xml:space="preserve"> </v>
      </c>
      <c r="L74" s="223"/>
      <c r="M74" s="220"/>
      <c r="N74" s="27" t="str">
        <f t="shared" si="19"/>
        <v xml:space="preserve"> </v>
      </c>
      <c r="O74" s="1"/>
      <c r="P74" s="1"/>
      <c r="Q74" s="1"/>
      <c r="R74" s="1"/>
      <c r="S74" s="1"/>
      <c r="T74" s="1"/>
      <c r="U74" s="1"/>
      <c r="V74" s="1"/>
      <c r="W74" s="1"/>
      <c r="X74" s="1"/>
      <c r="Y74" s="1"/>
      <c r="Z74" s="1"/>
    </row>
    <row r="75" spans="1:26" ht="12" customHeight="1">
      <c r="A75" s="364">
        <f>A73</f>
        <v>0</v>
      </c>
      <c r="B75" s="223"/>
      <c r="C75" s="220"/>
      <c r="D75" s="51" t="str">
        <f t="shared" si="14"/>
        <v xml:space="preserve"> </v>
      </c>
      <c r="E75" s="276"/>
      <c r="F75" s="216"/>
      <c r="G75" s="277" t="str">
        <f t="shared" si="15"/>
        <v xml:space="preserve"> </v>
      </c>
      <c r="H75" s="220"/>
      <c r="I75" s="90" t="str">
        <f t="shared" si="16"/>
        <v xml:space="preserve"> </v>
      </c>
      <c r="J75" s="26">
        <f t="shared" si="17"/>
        <v>1.5</v>
      </c>
      <c r="K75" s="270" t="str">
        <f t="shared" si="18"/>
        <v xml:space="preserve"> </v>
      </c>
      <c r="L75" s="223"/>
      <c r="M75" s="220"/>
      <c r="N75" s="27" t="str">
        <f t="shared" si="19"/>
        <v xml:space="preserve"> </v>
      </c>
      <c r="O75" s="1"/>
      <c r="P75" s="1"/>
      <c r="Q75" s="17"/>
      <c r="R75" s="17"/>
      <c r="S75" s="1"/>
      <c r="T75" s="1"/>
      <c r="U75" s="1"/>
      <c r="V75" s="1"/>
      <c r="W75" s="1"/>
      <c r="X75" s="1"/>
      <c r="Y75" s="1"/>
      <c r="Z75" s="1"/>
    </row>
    <row r="76" spans="1:26" ht="12" customHeight="1">
      <c r="A76" s="364">
        <f>A72</f>
        <v>0</v>
      </c>
      <c r="B76" s="223"/>
      <c r="C76" s="220"/>
      <c r="D76" s="51" t="str">
        <f t="shared" si="14"/>
        <v xml:space="preserve"> </v>
      </c>
      <c r="E76" s="276"/>
      <c r="F76" s="216"/>
      <c r="G76" s="277" t="str">
        <f t="shared" si="15"/>
        <v xml:space="preserve"> </v>
      </c>
      <c r="H76" s="220"/>
      <c r="I76" s="90" t="str">
        <f t="shared" si="16"/>
        <v xml:space="preserve"> </v>
      </c>
      <c r="J76" s="26">
        <f t="shared" si="17"/>
        <v>1.5</v>
      </c>
      <c r="K76" s="270" t="str">
        <f t="shared" si="18"/>
        <v xml:space="preserve"> </v>
      </c>
      <c r="L76" s="223"/>
      <c r="M76" s="220"/>
      <c r="N76" s="27" t="str">
        <f t="shared" si="19"/>
        <v xml:space="preserve"> </v>
      </c>
      <c r="O76" s="1"/>
      <c r="P76" s="1"/>
      <c r="Q76" s="17"/>
      <c r="R76" s="17"/>
      <c r="S76" s="1"/>
      <c r="T76" s="1"/>
      <c r="U76" s="1"/>
      <c r="V76" s="1"/>
      <c r="W76" s="1"/>
      <c r="X76" s="1"/>
      <c r="Y76" s="1"/>
      <c r="Z76" s="1"/>
    </row>
    <row r="77" spans="1:26" ht="12" customHeight="1">
      <c r="A77" s="364">
        <f>A71</f>
        <v>0</v>
      </c>
      <c r="B77" s="223"/>
      <c r="C77" s="220"/>
      <c r="D77" s="51" t="str">
        <f t="shared" si="14"/>
        <v xml:space="preserve"> </v>
      </c>
      <c r="E77" s="276"/>
      <c r="F77" s="216"/>
      <c r="G77" s="277" t="str">
        <f t="shared" si="15"/>
        <v xml:space="preserve"> </v>
      </c>
      <c r="H77" s="220"/>
      <c r="I77" s="90" t="str">
        <f t="shared" si="16"/>
        <v xml:space="preserve"> </v>
      </c>
      <c r="J77" s="26">
        <f t="shared" si="17"/>
        <v>1.5</v>
      </c>
      <c r="K77" s="270" t="str">
        <f t="shared" si="18"/>
        <v xml:space="preserve"> </v>
      </c>
      <c r="L77" s="223"/>
      <c r="M77" s="220"/>
      <c r="N77" s="27" t="str">
        <f t="shared" si="19"/>
        <v xml:space="preserve"> </v>
      </c>
      <c r="O77" s="1"/>
      <c r="P77" s="1"/>
      <c r="Q77" s="17"/>
      <c r="R77" s="17"/>
      <c r="S77" s="1"/>
      <c r="T77" s="1"/>
      <c r="U77" s="1"/>
      <c r="V77" s="1"/>
      <c r="W77" s="1"/>
      <c r="X77" s="1"/>
      <c r="Y77" s="1"/>
      <c r="Z77" s="1"/>
    </row>
    <row r="78" spans="1:26" ht="12" customHeight="1">
      <c r="A78" s="364">
        <f>A70</f>
        <v>0</v>
      </c>
      <c r="B78" s="223"/>
      <c r="C78" s="220"/>
      <c r="D78" s="51" t="str">
        <f t="shared" si="14"/>
        <v xml:space="preserve"> </v>
      </c>
      <c r="E78" s="276"/>
      <c r="F78" s="216"/>
      <c r="G78" s="277" t="str">
        <f t="shared" si="15"/>
        <v xml:space="preserve"> </v>
      </c>
      <c r="H78" s="220"/>
      <c r="I78" s="90" t="str">
        <f t="shared" si="16"/>
        <v xml:space="preserve"> </v>
      </c>
      <c r="J78" s="26">
        <f t="shared" si="17"/>
        <v>1.5</v>
      </c>
      <c r="K78" s="270" t="str">
        <f t="shared" si="18"/>
        <v xml:space="preserve"> </v>
      </c>
      <c r="L78" s="223"/>
      <c r="M78" s="220"/>
      <c r="N78" s="27" t="str">
        <f t="shared" si="19"/>
        <v xml:space="preserve"> </v>
      </c>
      <c r="O78" s="1"/>
      <c r="P78" s="1"/>
      <c r="Q78" s="17"/>
      <c r="R78" s="17"/>
      <c r="S78" s="1"/>
      <c r="T78" s="1"/>
      <c r="U78" s="1"/>
      <c r="V78" s="1"/>
      <c r="W78" s="1"/>
      <c r="X78" s="1"/>
      <c r="Y78" s="1"/>
      <c r="Z78" s="1"/>
    </row>
    <row r="79" spans="1:26" ht="12" customHeight="1">
      <c r="A79" s="1"/>
      <c r="B79" s="53"/>
      <c r="C79" s="40"/>
      <c r="D79" s="1"/>
      <c r="E79" s="1"/>
      <c r="F79" s="1"/>
      <c r="G79" s="31"/>
      <c r="H79" s="31"/>
      <c r="I79" s="1"/>
      <c r="J79" s="1"/>
      <c r="K79" s="1"/>
      <c r="L79" s="54"/>
      <c r="M79" s="6" t="str">
        <f>IF($D$13="English","Test passed?","Test bestanden?")</f>
        <v>Test passed?</v>
      </c>
      <c r="N79" s="27" t="str">
        <f>IF(AND(N70="Y",N71="Y",N72="Y",N73="Y",N74="Y",N75="Y",N76="Y",N77="Y",N78="Y"),"Y","N")</f>
        <v>N</v>
      </c>
      <c r="O79" s="17"/>
      <c r="P79" s="1"/>
      <c r="Q79" s="1"/>
      <c r="R79" s="1"/>
      <c r="S79" s="1"/>
      <c r="T79" s="1"/>
      <c r="U79" s="1"/>
      <c r="V79" s="1"/>
      <c r="W79" s="1"/>
      <c r="X79" s="1"/>
      <c r="Y79" s="1"/>
      <c r="Z79" s="1"/>
    </row>
    <row r="80" spans="1:26" ht="12" customHeight="1">
      <c r="A80" s="47"/>
      <c r="B80" s="50"/>
      <c r="C80" s="50"/>
      <c r="D80" s="50"/>
      <c r="E80" s="50"/>
      <c r="F80" s="50"/>
      <c r="G80" s="50"/>
      <c r="H80" s="50"/>
      <c r="I80" s="50"/>
      <c r="J80" s="50"/>
      <c r="K80" s="50"/>
      <c r="L80" s="50"/>
      <c r="M80" s="50"/>
      <c r="N80" s="50"/>
      <c r="O80" s="50"/>
      <c r="P80" s="50"/>
      <c r="Q80" s="1"/>
      <c r="R80" s="1"/>
      <c r="S80" s="1"/>
      <c r="T80" s="1"/>
      <c r="U80" s="1"/>
      <c r="V80" s="1"/>
      <c r="W80" s="1"/>
      <c r="X80" s="1"/>
      <c r="Y80" s="1"/>
      <c r="Z80" s="1"/>
    </row>
    <row r="81" spans="1:26" ht="12" customHeight="1">
      <c r="A81" s="7" t="str">
        <f>IF($D$13="English","6.  Eccentricity Test (Indicator in hi-res mode)","6.  Prüfung bei Außermittiger Belastung (Indicator in hi-res mode)")</f>
        <v>6.  Eccentricity Test (Indicator in hi-res mode)</v>
      </c>
      <c r="B81" s="1"/>
      <c r="C81" s="6"/>
      <c r="D81" s="8"/>
      <c r="E81" s="8"/>
      <c r="F81" s="1"/>
      <c r="G81" s="1"/>
      <c r="H81" s="1" t="str">
        <f>IF($D$13="English","accordance to EN45501-2015, A.4.7","gemäß EN45501-2015, A.4.7")</f>
        <v>accordance to EN45501-2015, A.4.7</v>
      </c>
      <c r="I81" s="1"/>
      <c r="J81" s="1"/>
      <c r="K81" s="6"/>
      <c r="L81" s="6"/>
      <c r="M81" s="6"/>
      <c r="N81" s="1"/>
      <c r="O81" s="1"/>
      <c r="P81" s="1"/>
      <c r="Q81" s="1"/>
      <c r="R81" s="1"/>
      <c r="S81" s="1"/>
      <c r="T81" s="1"/>
      <c r="U81" s="1"/>
      <c r="V81" s="1"/>
      <c r="W81" s="1"/>
      <c r="X81" s="1"/>
      <c r="Y81" s="1"/>
      <c r="Z81" s="1"/>
    </row>
    <row r="82" spans="1:26" ht="15" customHeight="1">
      <c r="A82" s="7"/>
      <c r="B82" s="7" t="str">
        <f>IF($D$13="English","Load position","Belastungsort")</f>
        <v>Load position</v>
      </c>
      <c r="C82" s="1"/>
      <c r="D82" s="1"/>
      <c r="E82" s="1"/>
      <c r="F82" s="1"/>
      <c r="G82" s="1"/>
      <c r="H82" s="1"/>
      <c r="I82" s="1"/>
      <c r="J82" s="1"/>
      <c r="K82" s="1"/>
      <c r="L82" s="1"/>
      <c r="M82" s="1"/>
      <c r="N82" s="1"/>
      <c r="O82" s="1"/>
      <c r="P82" s="1"/>
      <c r="R82" s="1"/>
      <c r="S82" s="1"/>
      <c r="T82" s="1"/>
      <c r="U82" s="1"/>
      <c r="V82" s="1"/>
      <c r="W82" s="1"/>
      <c r="X82" s="1"/>
      <c r="Y82" s="1"/>
      <c r="Z82" s="1"/>
    </row>
    <row r="83" spans="1:26" ht="12" customHeight="1">
      <c r="A83" s="7"/>
      <c r="B83" s="55">
        <v>1</v>
      </c>
      <c r="C83" s="56"/>
      <c r="D83" s="57">
        <f>IF($Q$88="Y",2,4)</f>
        <v>4</v>
      </c>
      <c r="E83" s="58"/>
      <c r="F83" s="57" t="str">
        <f>IF(AND($G$88=4,Q88="N")," ",IF($Q$88="Y",3,5))</f>
        <v xml:space="preserve"> </v>
      </c>
      <c r="G83" s="56"/>
      <c r="H83" s="57" t="str">
        <f>IF(AND(OR($G$88=4,$G$88=6),Q88="N")," ",IF($Q$88="Y",4,8))</f>
        <v xml:space="preserve"> </v>
      </c>
      <c r="I83" s="56"/>
      <c r="J83" s="57" t="str">
        <f>IF(AND(OR($G$88=4,$G$88=6,$G$88=8),$Q$88="N")," ",IF($Q$88="Y"," ",9))</f>
        <v xml:space="preserve"> </v>
      </c>
      <c r="K83" s="56"/>
      <c r="O83" s="1"/>
      <c r="P83" s="1"/>
      <c r="Q83" s="23" t="s">
        <v>76</v>
      </c>
      <c r="R83" s="1"/>
      <c r="S83" s="1"/>
      <c r="T83" s="1"/>
      <c r="U83" s="1"/>
      <c r="V83" s="1"/>
      <c r="W83" s="1"/>
      <c r="X83" s="1"/>
      <c r="Y83" s="1"/>
      <c r="Z83" s="1"/>
    </row>
    <row r="84" spans="1:26" ht="12" customHeight="1">
      <c r="A84" s="7"/>
      <c r="B84" s="59"/>
      <c r="C84" s="60"/>
      <c r="D84" s="61"/>
      <c r="E84" s="61"/>
      <c r="F84" s="62"/>
      <c r="G84" s="60"/>
      <c r="H84" s="61"/>
      <c r="I84" s="60"/>
      <c r="J84" s="59"/>
      <c r="K84" s="60"/>
      <c r="L84" s="1"/>
      <c r="M84" s="1"/>
      <c r="N84" s="1"/>
      <c r="O84" s="1"/>
      <c r="P84" s="1"/>
      <c r="Q84" s="1"/>
      <c r="R84" s="1"/>
      <c r="S84" s="1"/>
      <c r="T84" s="1"/>
      <c r="U84" s="1"/>
      <c r="V84" s="1"/>
      <c r="W84" s="1"/>
      <c r="X84" s="1"/>
      <c r="Y84" s="1"/>
      <c r="Z84" s="1"/>
    </row>
    <row r="85" spans="1:26" ht="12" customHeight="1">
      <c r="A85" s="7"/>
      <c r="B85" s="55">
        <f>IF($Q$88="Y"," ",2)</f>
        <v>2</v>
      </c>
      <c r="C85" s="63" t="s">
        <v>77</v>
      </c>
      <c r="D85" s="55">
        <f>IF($Q$88="Y"," ",3)</f>
        <v>3</v>
      </c>
      <c r="E85" s="58"/>
      <c r="F85" s="57" t="str">
        <f>IF($G$88=4," ",IF($Q$88="Y"," ",6))</f>
        <v xml:space="preserve"> </v>
      </c>
      <c r="G85" s="63"/>
      <c r="H85" s="57" t="str">
        <f>IF(OR($G$88=4,$G$88=6)," ",IF($Q$88="Y"," ",7))</f>
        <v xml:space="preserve"> </v>
      </c>
      <c r="I85" s="63"/>
      <c r="J85" s="57" t="str">
        <f>IF(AND(OR($G$88=4,$G$88=6,$G$88=8),$Q$88="N")," ",IF($Q$88="Y"," ",10))</f>
        <v xml:space="preserve"> </v>
      </c>
      <c r="K85" s="56"/>
      <c r="L85" s="1"/>
      <c r="M85" s="1"/>
      <c r="N85" s="1"/>
      <c r="O85" s="1"/>
      <c r="P85" s="1"/>
      <c r="Q85" s="1"/>
      <c r="R85" s="1"/>
      <c r="S85" s="1"/>
      <c r="T85" s="1"/>
      <c r="U85" s="1"/>
      <c r="V85" s="1"/>
      <c r="W85" s="1"/>
      <c r="X85" s="1"/>
      <c r="Y85" s="1"/>
      <c r="Z85" s="1"/>
    </row>
    <row r="86" spans="1:26" ht="12" customHeight="1">
      <c r="A86" s="7"/>
      <c r="B86" s="59"/>
      <c r="C86" s="60"/>
      <c r="D86" s="61"/>
      <c r="E86" s="64"/>
      <c r="F86" s="61"/>
      <c r="G86" s="60"/>
      <c r="H86" s="61"/>
      <c r="I86" s="60"/>
      <c r="J86" s="59"/>
      <c r="K86" s="60"/>
      <c r="L86" s="1"/>
      <c r="M86" s="1"/>
      <c r="N86" s="1"/>
      <c r="O86" s="1"/>
      <c r="P86" s="1"/>
      <c r="Q86" s="1"/>
      <c r="R86" s="1"/>
      <c r="S86" s="1"/>
      <c r="T86" s="1"/>
      <c r="U86" s="1"/>
      <c r="V86" s="1"/>
      <c r="W86" s="1"/>
      <c r="X86" s="1"/>
      <c r="Y86" s="1"/>
      <c r="Z86" s="1"/>
    </row>
    <row r="87" spans="1:26" ht="12" customHeight="1">
      <c r="A87" s="7"/>
      <c r="B87" s="1"/>
      <c r="C87" s="1"/>
      <c r="D87" s="1"/>
      <c r="E87" s="1"/>
      <c r="F87" s="1"/>
      <c r="G87" s="1"/>
      <c r="H87" s="1"/>
      <c r="I87" s="1"/>
      <c r="J87" s="236" t="str">
        <f>IF($D$13="English","Load positions in one line (e.g. weighing belt)?","Belastungsorte in einer Reihe (z.B. Bandwaage)?")</f>
        <v>Load positions in one line (e.g. weighing belt)?</v>
      </c>
      <c r="K87" s="237"/>
      <c r="L87" s="237"/>
      <c r="M87" s="237"/>
      <c r="N87" s="237"/>
      <c r="O87" s="237"/>
      <c r="P87" s="1"/>
      <c r="Q87" s="1"/>
      <c r="R87" s="1"/>
      <c r="S87" s="1"/>
      <c r="T87" s="1"/>
      <c r="U87" s="1"/>
      <c r="V87" s="1"/>
      <c r="W87" s="1"/>
      <c r="X87" s="1"/>
      <c r="Y87" s="1"/>
      <c r="Z87" s="1"/>
    </row>
    <row r="88" spans="1:26" ht="12" customHeight="1">
      <c r="A88" s="7"/>
      <c r="B88" s="1" t="str">
        <f>IF($D$13="English","number of load carrier","Anzahl Auflager")</f>
        <v>number of load carrier</v>
      </c>
      <c r="C88" s="1"/>
      <c r="F88" s="23" t="s">
        <v>76</v>
      </c>
      <c r="G88" s="171">
        <v>4</v>
      </c>
      <c r="H88" s="1"/>
      <c r="I88" s="1"/>
      <c r="J88" s="237"/>
      <c r="K88" s="237"/>
      <c r="L88" s="237"/>
      <c r="M88" s="237"/>
      <c r="N88" s="237"/>
      <c r="O88" s="237"/>
      <c r="Q88" s="172" t="s">
        <v>78</v>
      </c>
      <c r="R88" s="1"/>
      <c r="S88" s="1"/>
      <c r="T88" s="1"/>
      <c r="U88" s="1"/>
      <c r="V88" s="1"/>
      <c r="W88" s="1"/>
      <c r="X88" s="1"/>
      <c r="Y88" s="1"/>
      <c r="Z88" s="1"/>
    </row>
    <row r="89" spans="1:26" ht="12" customHeight="1">
      <c r="A89" s="7"/>
      <c r="B89" s="1"/>
      <c r="C89" s="1"/>
      <c r="D89" s="1"/>
      <c r="E89" s="1"/>
      <c r="F89" s="1"/>
      <c r="G89" s="1"/>
      <c r="H89" s="1"/>
      <c r="I89" s="1"/>
      <c r="J89" s="66"/>
      <c r="K89" s="1"/>
      <c r="L89" s="1"/>
      <c r="M89" s="1"/>
      <c r="N89" s="1"/>
      <c r="R89" s="1"/>
      <c r="S89" s="1"/>
      <c r="T89" s="1"/>
      <c r="U89" s="1"/>
      <c r="V89" s="1"/>
      <c r="W89" s="1"/>
      <c r="X89" s="1"/>
      <c r="Y89" s="1"/>
      <c r="Z89" s="1"/>
    </row>
    <row r="90" spans="1:26" ht="21.75" customHeight="1">
      <c r="A90" s="264" t="str">
        <f>IF($D$13="English","load must be about","ungefähre Last")</f>
        <v>load must be about</v>
      </c>
      <c r="B90" s="220"/>
      <c r="C90" s="67" t="s">
        <v>26</v>
      </c>
      <c r="D90" s="126"/>
      <c r="E90" s="68"/>
      <c r="F90" s="67" t="s">
        <v>27</v>
      </c>
      <c r="G90" s="68"/>
      <c r="H90" s="265" t="s">
        <v>28</v>
      </c>
      <c r="I90" s="220"/>
      <c r="J90" s="67" t="s">
        <v>29</v>
      </c>
      <c r="K90" s="68"/>
      <c r="L90" s="69" t="s">
        <v>30</v>
      </c>
      <c r="M90" s="65"/>
      <c r="N90" s="65"/>
      <c r="O90" s="34"/>
      <c r="P90" s="34"/>
      <c r="Q90" s="34"/>
      <c r="R90" s="65"/>
      <c r="S90" s="65"/>
      <c r="T90" s="65"/>
      <c r="U90" s="65"/>
      <c r="V90" s="65"/>
      <c r="W90" s="65"/>
      <c r="X90" s="65"/>
      <c r="Y90" s="65"/>
      <c r="Z90" s="65"/>
    </row>
    <row r="91" spans="1:26" ht="12" customHeight="1">
      <c r="A91" s="231" t="s">
        <v>33</v>
      </c>
      <c r="B91" s="220"/>
      <c r="C91" s="18" t="s">
        <v>32</v>
      </c>
      <c r="D91" s="20" t="s">
        <v>79</v>
      </c>
      <c r="E91" s="21" t="s">
        <v>33</v>
      </c>
      <c r="F91" s="18" t="s">
        <v>33</v>
      </c>
      <c r="G91" s="70"/>
      <c r="H91" s="231" t="s">
        <v>33</v>
      </c>
      <c r="I91" s="220"/>
      <c r="J91" s="19" t="s">
        <v>33</v>
      </c>
      <c r="K91" s="21" t="s">
        <v>32</v>
      </c>
      <c r="L91" s="19" t="s">
        <v>34</v>
      </c>
      <c r="M91" s="1"/>
      <c r="N91" s="1"/>
      <c r="R91" s="1"/>
      <c r="S91" s="1"/>
      <c r="T91" s="1"/>
      <c r="U91" s="1"/>
      <c r="V91" s="1"/>
      <c r="W91" s="1"/>
      <c r="X91" s="1"/>
      <c r="Y91" s="1"/>
      <c r="Z91" s="1"/>
    </row>
    <row r="92" spans="1:26" ht="12" customHeight="1">
      <c r="A92" s="373">
        <f t="shared" ref="A92:A95" si="20">ROUND($D$9/($G$88-1),-0.01)</f>
        <v>0</v>
      </c>
      <c r="B92" s="220"/>
      <c r="C92" s="11" t="str">
        <f>IF($D$10=0," ",E92/$D$10)</f>
        <v xml:space="preserve"> </v>
      </c>
      <c r="D92" s="20">
        <v>1</v>
      </c>
      <c r="E92" s="185"/>
      <c r="F92" s="269"/>
      <c r="G92" s="216"/>
      <c r="H92" s="270" t="str">
        <f t="shared" ref="H92:H101" si="21">IF(F92=0," ",ABS(E92-F92))</f>
        <v xml:space="preserve"> </v>
      </c>
      <c r="I92" s="220"/>
      <c r="J92" s="90">
        <f t="shared" ref="J92:J101" si="22">PRODUCT($D$10,K92)</f>
        <v>0</v>
      </c>
      <c r="K92" s="26">
        <f t="shared" ref="K92:K101" si="23">IF(C92=" ",0,IF(C92&lt;=500,0.5,(IF(C92&lt;=2000,1,IF(C92&gt;2000,1.5," ")))))</f>
        <v>0</v>
      </c>
      <c r="L92" s="27" t="str">
        <f t="shared" ref="L92:L101" si="24">IF(F92=0," ",IF(ABS(H92)&lt;=J92,"Y","N"))</f>
        <v xml:space="preserve"> </v>
      </c>
      <c r="M92" s="1"/>
      <c r="Q92" s="1"/>
      <c r="R92" s="1"/>
      <c r="S92" s="1"/>
      <c r="T92" s="1"/>
      <c r="U92" s="1"/>
      <c r="V92" s="1"/>
      <c r="W92" s="1"/>
      <c r="X92" s="1"/>
      <c r="Y92" s="1"/>
      <c r="Z92" s="1"/>
    </row>
    <row r="93" spans="1:26" ht="12" customHeight="1">
      <c r="A93" s="373">
        <f t="shared" si="20"/>
        <v>0</v>
      </c>
      <c r="B93" s="220"/>
      <c r="C93" s="11" t="str">
        <f t="shared" ref="C93:C95" si="25">IF($D$10=0," ",IF(E93=" ",0,E93/$D$10))</f>
        <v xml:space="preserve"> </v>
      </c>
      <c r="D93" s="20">
        <v>2</v>
      </c>
      <c r="E93" s="144" t="str">
        <f t="shared" ref="E93:E95" si="26">IF($G$88&gt;1,IF($E$92=0," ",$E$92)," ")</f>
        <v xml:space="preserve"> </v>
      </c>
      <c r="F93" s="269"/>
      <c r="G93" s="216"/>
      <c r="H93" s="270" t="str">
        <f t="shared" si="21"/>
        <v xml:space="preserve"> </v>
      </c>
      <c r="I93" s="220"/>
      <c r="J93" s="90">
        <f t="shared" si="22"/>
        <v>0</v>
      </c>
      <c r="K93" s="26">
        <f t="shared" si="23"/>
        <v>0</v>
      </c>
      <c r="L93" s="27" t="str">
        <f t="shared" si="24"/>
        <v xml:space="preserve"> </v>
      </c>
      <c r="N93" s="73" t="str">
        <f>IF(AND(L92="Y",L93="Y",L94="Y",L95="Y"),"Y","N")</f>
        <v>N</v>
      </c>
      <c r="R93" s="1"/>
      <c r="S93" s="1"/>
      <c r="T93" s="1"/>
      <c r="U93" s="1"/>
      <c r="V93" s="1"/>
      <c r="W93" s="1"/>
      <c r="X93" s="1"/>
      <c r="Y93" s="1"/>
      <c r="Z93" s="1"/>
    </row>
    <row r="94" spans="1:26" ht="12" customHeight="1">
      <c r="A94" s="373">
        <f t="shared" si="20"/>
        <v>0</v>
      </c>
      <c r="B94" s="220"/>
      <c r="C94" s="11" t="str">
        <f t="shared" si="25"/>
        <v xml:space="preserve"> </v>
      </c>
      <c r="D94" s="20">
        <v>3</v>
      </c>
      <c r="E94" s="144" t="str">
        <f t="shared" si="26"/>
        <v xml:space="preserve"> </v>
      </c>
      <c r="F94" s="269"/>
      <c r="G94" s="216"/>
      <c r="H94" s="270" t="str">
        <f t="shared" si="21"/>
        <v xml:space="preserve"> </v>
      </c>
      <c r="I94" s="220"/>
      <c r="J94" s="90">
        <f t="shared" si="22"/>
        <v>0</v>
      </c>
      <c r="K94" s="26">
        <f t="shared" si="23"/>
        <v>0</v>
      </c>
      <c r="L94" s="27" t="str">
        <f t="shared" si="24"/>
        <v xml:space="preserve"> </v>
      </c>
      <c r="N94" s="73" t="str">
        <f>IF(AND(L92="Y",L93="Y",L94="Y",L95="Y",L96="Y",L97="Y"),"Y","N")</f>
        <v>N</v>
      </c>
      <c r="R94" s="1"/>
      <c r="S94" s="1"/>
      <c r="T94" s="1"/>
      <c r="U94" s="1"/>
      <c r="V94" s="1"/>
      <c r="W94" s="1"/>
      <c r="X94" s="1"/>
      <c r="Y94" s="1"/>
      <c r="Z94" s="1"/>
    </row>
    <row r="95" spans="1:26" ht="12" customHeight="1">
      <c r="A95" s="373">
        <f t="shared" si="20"/>
        <v>0</v>
      </c>
      <c r="B95" s="220"/>
      <c r="C95" s="11" t="str">
        <f t="shared" si="25"/>
        <v xml:space="preserve"> </v>
      </c>
      <c r="D95" s="20">
        <v>4</v>
      </c>
      <c r="E95" s="144" t="str">
        <f t="shared" si="26"/>
        <v xml:space="preserve"> </v>
      </c>
      <c r="F95" s="269"/>
      <c r="G95" s="216"/>
      <c r="H95" s="270" t="str">
        <f t="shared" si="21"/>
        <v xml:space="preserve"> </v>
      </c>
      <c r="I95" s="220"/>
      <c r="J95" s="90">
        <f t="shared" si="22"/>
        <v>0</v>
      </c>
      <c r="K95" s="26">
        <f t="shared" si="23"/>
        <v>0</v>
      </c>
      <c r="L95" s="27" t="str">
        <f t="shared" si="24"/>
        <v xml:space="preserve"> </v>
      </c>
      <c r="N95" s="73" t="str">
        <f>IF(AND(L92="Y",L93="Y",L94="Y",L95="Y",L96="Y",L97="Y",L98="Y",L99="Y"),"Y","N")</f>
        <v>N</v>
      </c>
      <c r="R95" s="1"/>
      <c r="S95" s="1"/>
      <c r="T95" s="1"/>
      <c r="U95" s="1"/>
      <c r="V95" s="1"/>
      <c r="W95" s="1"/>
      <c r="X95" s="1"/>
      <c r="Y95" s="1"/>
      <c r="Z95" s="1"/>
    </row>
    <row r="96" spans="1:26" ht="12" customHeight="1">
      <c r="A96" s="373" t="str">
        <f>IF(G88=4," ",ROUND($D$9/($G$88-1),-0.01))</f>
        <v xml:space="preserve"> </v>
      </c>
      <c r="B96" s="220"/>
      <c r="C96" s="11" t="str">
        <f t="shared" ref="C96:C101" si="27">IF($D$10=0," ",IF(E96=" "," ",E96/$D$10))</f>
        <v xml:space="preserve"> </v>
      </c>
      <c r="D96" s="20">
        <v>5</v>
      </c>
      <c r="E96" s="144" t="str">
        <f t="shared" ref="E96:E97" si="28">IF($G$88&gt;4,IF($E$92=0," ",$E$92)," ")</f>
        <v xml:space="preserve"> </v>
      </c>
      <c r="F96" s="269"/>
      <c r="G96" s="216"/>
      <c r="H96" s="270" t="str">
        <f t="shared" si="21"/>
        <v xml:space="preserve"> </v>
      </c>
      <c r="I96" s="220"/>
      <c r="J96" s="90">
        <f t="shared" si="22"/>
        <v>0</v>
      </c>
      <c r="K96" s="26">
        <f t="shared" si="23"/>
        <v>0</v>
      </c>
      <c r="L96" s="27" t="str">
        <f t="shared" si="24"/>
        <v xml:space="preserve"> </v>
      </c>
      <c r="N96" s="73" t="str">
        <f>IF(AND(L92="Y",L93="Y",L94="Y",L95="Y",L96="Y",L97="Y",L98="Y",L99="Y",L100="Y",L101="Y"),"Y","N")</f>
        <v>N</v>
      </c>
      <c r="R96" s="1"/>
      <c r="S96" s="1"/>
      <c r="T96" s="1"/>
      <c r="U96" s="1"/>
      <c r="V96" s="1"/>
      <c r="W96" s="1"/>
      <c r="X96" s="1"/>
      <c r="Y96" s="1"/>
      <c r="Z96" s="1"/>
    </row>
    <row r="97" spans="1:26" ht="12" customHeight="1">
      <c r="A97" s="373" t="str">
        <f>IF(G88=4," ",ROUND($D$9/($G$88-1),-0.01))</f>
        <v xml:space="preserve"> </v>
      </c>
      <c r="B97" s="220"/>
      <c r="C97" s="11" t="str">
        <f t="shared" si="27"/>
        <v xml:space="preserve"> </v>
      </c>
      <c r="D97" s="20">
        <v>6</v>
      </c>
      <c r="E97" s="144" t="str">
        <f t="shared" si="28"/>
        <v xml:space="preserve"> </v>
      </c>
      <c r="F97" s="269"/>
      <c r="G97" s="216"/>
      <c r="H97" s="270" t="str">
        <f t="shared" si="21"/>
        <v xml:space="preserve"> </v>
      </c>
      <c r="I97" s="220"/>
      <c r="J97" s="90">
        <f t="shared" si="22"/>
        <v>0</v>
      </c>
      <c r="K97" s="26">
        <f t="shared" si="23"/>
        <v>0</v>
      </c>
      <c r="L97" s="27" t="str">
        <f t="shared" si="24"/>
        <v xml:space="preserve"> </v>
      </c>
      <c r="R97" s="1"/>
      <c r="S97" s="1"/>
      <c r="T97" s="1"/>
      <c r="U97" s="1"/>
      <c r="V97" s="1"/>
      <c r="W97" s="1"/>
      <c r="X97" s="1"/>
      <c r="Y97" s="1"/>
      <c r="Z97" s="1"/>
    </row>
    <row r="98" spans="1:26" ht="12" customHeight="1">
      <c r="A98" s="373" t="str">
        <f>IF(G88&lt;8," ",ROUND($D$9/($G$88-1),-0.01))</f>
        <v xml:space="preserve"> </v>
      </c>
      <c r="B98" s="220"/>
      <c r="C98" s="11" t="str">
        <f t="shared" si="27"/>
        <v xml:space="preserve"> </v>
      </c>
      <c r="D98" s="20">
        <v>7</v>
      </c>
      <c r="E98" s="144" t="str">
        <f t="shared" ref="E98:E101" si="29">IF($G$88&gt;6,IF($E$92=0," ",$E$92)," ")</f>
        <v xml:space="preserve"> </v>
      </c>
      <c r="F98" s="269"/>
      <c r="G98" s="216"/>
      <c r="H98" s="270" t="str">
        <f t="shared" si="21"/>
        <v xml:space="preserve"> </v>
      </c>
      <c r="I98" s="220"/>
      <c r="J98" s="90">
        <f t="shared" si="22"/>
        <v>0</v>
      </c>
      <c r="K98" s="26">
        <f t="shared" si="23"/>
        <v>0</v>
      </c>
      <c r="L98" s="27" t="str">
        <f t="shared" si="24"/>
        <v xml:space="preserve"> </v>
      </c>
      <c r="R98" s="1"/>
      <c r="S98" s="1"/>
      <c r="T98" s="1"/>
      <c r="U98" s="1"/>
      <c r="V98" s="1"/>
      <c r="W98" s="1"/>
      <c r="X98" s="1"/>
      <c r="Y98" s="1"/>
      <c r="Z98" s="1"/>
    </row>
    <row r="99" spans="1:26" ht="12" customHeight="1">
      <c r="A99" s="373" t="str">
        <f>IF(G88&lt;8," ",ROUND($D$9/($G$88-1),-0.01))</f>
        <v xml:space="preserve"> </v>
      </c>
      <c r="B99" s="220"/>
      <c r="C99" s="11" t="str">
        <f t="shared" si="27"/>
        <v xml:space="preserve"> </v>
      </c>
      <c r="D99" s="20">
        <v>8</v>
      </c>
      <c r="E99" s="144" t="str">
        <f t="shared" si="29"/>
        <v xml:space="preserve"> </v>
      </c>
      <c r="F99" s="269"/>
      <c r="G99" s="216"/>
      <c r="H99" s="270" t="str">
        <f t="shared" si="21"/>
        <v xml:space="preserve"> </v>
      </c>
      <c r="I99" s="220"/>
      <c r="J99" s="90">
        <f t="shared" si="22"/>
        <v>0</v>
      </c>
      <c r="K99" s="26">
        <f t="shared" si="23"/>
        <v>0</v>
      </c>
      <c r="L99" s="27" t="str">
        <f t="shared" si="24"/>
        <v xml:space="preserve"> </v>
      </c>
      <c r="R99" s="1"/>
      <c r="S99" s="1"/>
      <c r="T99" s="1"/>
      <c r="U99" s="1"/>
      <c r="V99" s="1"/>
      <c r="W99" s="1"/>
      <c r="X99" s="1"/>
      <c r="Y99" s="1"/>
      <c r="Z99" s="1"/>
    </row>
    <row r="100" spans="1:26" ht="12" customHeight="1">
      <c r="A100" s="373" t="str">
        <f>IF(G88&lt;10," ",ROUND($D$9/($G$88-1),-0.01))</f>
        <v xml:space="preserve"> </v>
      </c>
      <c r="B100" s="220"/>
      <c r="C100" s="11" t="str">
        <f t="shared" si="27"/>
        <v xml:space="preserve"> </v>
      </c>
      <c r="D100" s="20">
        <v>9</v>
      </c>
      <c r="E100" s="144" t="str">
        <f t="shared" si="29"/>
        <v xml:space="preserve"> </v>
      </c>
      <c r="F100" s="269"/>
      <c r="G100" s="216"/>
      <c r="H100" s="270" t="str">
        <f t="shared" si="21"/>
        <v xml:space="preserve"> </v>
      </c>
      <c r="I100" s="220"/>
      <c r="J100" s="90">
        <f t="shared" si="22"/>
        <v>0</v>
      </c>
      <c r="K100" s="26">
        <f t="shared" si="23"/>
        <v>0</v>
      </c>
      <c r="L100" s="27" t="str">
        <f t="shared" si="24"/>
        <v xml:space="preserve"> </v>
      </c>
      <c r="R100" s="1"/>
      <c r="S100" s="1"/>
      <c r="T100" s="1"/>
      <c r="U100" s="1"/>
      <c r="V100" s="1"/>
      <c r="W100" s="1"/>
      <c r="X100" s="1"/>
      <c r="Y100" s="1"/>
      <c r="Z100" s="1"/>
    </row>
    <row r="101" spans="1:26" ht="12" customHeight="1">
      <c r="A101" s="373" t="str">
        <f>IF(G88&lt;10," ",ROUND($D$9/($G$88-1),-0.01))</f>
        <v xml:space="preserve"> </v>
      </c>
      <c r="B101" s="220"/>
      <c r="C101" s="11" t="str">
        <f t="shared" si="27"/>
        <v xml:space="preserve"> </v>
      </c>
      <c r="D101" s="20">
        <v>10</v>
      </c>
      <c r="E101" s="144" t="str">
        <f t="shared" si="29"/>
        <v xml:space="preserve"> </v>
      </c>
      <c r="F101" s="269"/>
      <c r="G101" s="216"/>
      <c r="H101" s="270" t="str">
        <f t="shared" si="21"/>
        <v xml:space="preserve"> </v>
      </c>
      <c r="I101" s="220"/>
      <c r="J101" s="90">
        <f t="shared" si="22"/>
        <v>0</v>
      </c>
      <c r="K101" s="26">
        <f t="shared" si="23"/>
        <v>0</v>
      </c>
      <c r="L101" s="27" t="str">
        <f t="shared" si="24"/>
        <v xml:space="preserve"> </v>
      </c>
      <c r="R101" s="1"/>
      <c r="S101" s="1"/>
      <c r="T101" s="1"/>
      <c r="U101" s="1"/>
      <c r="V101" s="1"/>
      <c r="W101" s="1"/>
      <c r="X101" s="1"/>
      <c r="Y101" s="1"/>
      <c r="Z101" s="1"/>
    </row>
    <row r="102" spans="1:26" ht="12" customHeight="1">
      <c r="A102" s="1"/>
      <c r="B102" s="1"/>
      <c r="C102" s="1"/>
      <c r="D102" s="1"/>
      <c r="E102" s="1"/>
      <c r="F102" s="262"/>
      <c r="G102" s="237"/>
      <c r="H102" s="31"/>
      <c r="I102" s="1"/>
      <c r="J102" s="17"/>
      <c r="K102" s="6" t="str">
        <f>IF($D$13="English","Test passed?","Test bestanden?")</f>
        <v>Test passed?</v>
      </c>
      <c r="L102" s="27" t="str">
        <f>IF($G$88=4,$N$93,IF($G$88=6,$N$94,IF($G$88=8,$N$95,IF($G88=10,$N$96,"N"))))</f>
        <v>N</v>
      </c>
      <c r="R102" s="1"/>
      <c r="S102" s="1"/>
      <c r="T102" s="1"/>
      <c r="U102" s="1"/>
      <c r="V102" s="1"/>
      <c r="W102" s="1"/>
      <c r="X102" s="1"/>
      <c r="Y102" s="1"/>
      <c r="Z102" s="1"/>
    </row>
    <row r="103" spans="1:26" ht="12.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c r="A104" s="7" t="str">
        <f>IF($D$13="English","7.  Earth Gravity","7. Fallbeschleunigung")</f>
        <v>7.  Earth Gravity</v>
      </c>
      <c r="B104" s="46"/>
      <c r="C104" s="74"/>
      <c r="D104" s="74"/>
      <c r="E104" s="41"/>
      <c r="F104" s="41"/>
      <c r="G104" s="41"/>
      <c r="H104" s="75"/>
      <c r="I104" s="75"/>
      <c r="J104" s="41"/>
      <c r="K104" s="41"/>
      <c r="L104" s="73"/>
      <c r="M104" s="73"/>
      <c r="N104" s="42"/>
      <c r="O104" s="42"/>
      <c r="P104" s="28"/>
      <c r="Q104" s="1"/>
      <c r="R104" s="1"/>
      <c r="S104" s="1"/>
      <c r="T104" s="1"/>
      <c r="U104" s="1"/>
      <c r="V104" s="1"/>
      <c r="W104" s="1"/>
      <c r="X104" s="1"/>
      <c r="Y104" s="1"/>
      <c r="Z104" s="1"/>
    </row>
    <row r="105" spans="1:26" ht="12.75" customHeight="1">
      <c r="A105" s="7" t="str">
        <f>IF($D$13="English","Verification for: g=","Prüfung für: g=")</f>
        <v>Verification for: g=</v>
      </c>
      <c r="B105" s="46"/>
      <c r="C105" s="74"/>
      <c r="D105" s="260"/>
      <c r="E105" s="216"/>
      <c r="F105" s="41"/>
      <c r="G105" s="41"/>
      <c r="H105" s="176" t="s">
        <v>80</v>
      </c>
      <c r="I105" s="7" t="str">
        <f>IF($D$13="English","Not required","vernachlässigbar")</f>
        <v>Not required</v>
      </c>
      <c r="J105" s="41"/>
      <c r="K105" s="41"/>
      <c r="L105" s="73"/>
      <c r="M105" s="73"/>
      <c r="N105" s="1"/>
      <c r="O105" s="1"/>
      <c r="P105" s="1"/>
      <c r="Q105" s="1"/>
      <c r="R105" s="1"/>
      <c r="S105" s="1"/>
      <c r="T105" s="1"/>
      <c r="U105" s="1"/>
      <c r="V105" s="1"/>
      <c r="W105" s="1"/>
      <c r="X105" s="1"/>
      <c r="Y105" s="1"/>
      <c r="Z105" s="1"/>
    </row>
    <row r="106" spans="1:26" ht="12.75" customHeight="1">
      <c r="A106" s="45"/>
      <c r="B106" s="46"/>
      <c r="C106" s="74"/>
      <c r="D106" s="260"/>
      <c r="E106" s="216"/>
      <c r="F106" s="41"/>
      <c r="G106" s="41"/>
      <c r="H106" s="75"/>
      <c r="I106" s="75"/>
      <c r="J106" s="41"/>
      <c r="K106" s="41"/>
      <c r="L106" s="73"/>
      <c r="M106" s="73"/>
      <c r="N106" s="1"/>
      <c r="O106" s="1"/>
      <c r="P106" s="1"/>
      <c r="Q106" s="1"/>
      <c r="R106" s="1"/>
      <c r="S106" s="1"/>
      <c r="T106" s="1"/>
      <c r="U106" s="1"/>
      <c r="V106" s="1"/>
      <c r="W106" s="1"/>
      <c r="X106" s="1"/>
      <c r="Y106" s="1"/>
      <c r="Z106" s="1"/>
    </row>
    <row r="107" spans="1:26" ht="12.75" customHeight="1">
      <c r="A107" s="45"/>
      <c r="B107" s="46"/>
      <c r="C107" s="74"/>
      <c r="D107" s="41"/>
      <c r="E107" s="41"/>
      <c r="F107" s="41"/>
      <c r="G107" s="41"/>
      <c r="H107" s="75"/>
      <c r="I107" s="75"/>
      <c r="J107" s="41"/>
      <c r="K107" s="41"/>
      <c r="L107" s="73"/>
      <c r="M107" s="73"/>
      <c r="N107" s="1"/>
      <c r="O107" s="1"/>
      <c r="P107" s="1"/>
      <c r="Q107" s="1"/>
      <c r="R107" s="1"/>
      <c r="S107" s="1"/>
      <c r="T107" s="1"/>
      <c r="U107" s="1"/>
      <c r="V107" s="1"/>
      <c r="W107" s="1"/>
      <c r="X107" s="1"/>
      <c r="Y107" s="1"/>
      <c r="Z107" s="1"/>
    </row>
    <row r="108" spans="1:26" ht="12.75" customHeight="1">
      <c r="A108" s="7" t="str">
        <f>IF($D$13="English","8.  Tilting Test (Indicator in hi-res mode)","8.  Test unter Schrägstellung (Indicator in hi-res mode)")</f>
        <v>8.  Tilting Test (Indicator in hi-res mode)</v>
      </c>
      <c r="B108" s="1"/>
      <c r="C108" s="6"/>
      <c r="D108" s="8"/>
      <c r="E108" s="8"/>
      <c r="F108" s="1"/>
      <c r="G108" s="1" t="str">
        <f>IF($D$13="English","accordance to EN45501-2015, A.5.1","gemäß EN45501-2015, A.5.1")</f>
        <v>accordance to EN45501-2015, A.5.1</v>
      </c>
      <c r="H108" s="75"/>
      <c r="I108" s="75"/>
      <c r="J108" s="41"/>
      <c r="K108" s="41"/>
      <c r="L108" s="73"/>
      <c r="M108" s="73"/>
      <c r="N108" s="1"/>
      <c r="O108" s="1"/>
      <c r="P108" s="1"/>
      <c r="Q108" s="1"/>
      <c r="R108" s="1"/>
      <c r="S108" s="1"/>
      <c r="T108" s="1"/>
      <c r="U108" s="1"/>
      <c r="V108" s="1"/>
      <c r="W108" s="1"/>
      <c r="X108" s="1"/>
      <c r="Y108" s="1"/>
      <c r="Z108" s="1"/>
    </row>
    <row r="109" spans="1:26" ht="12.75" customHeight="1">
      <c r="A109" s="1" t="s">
        <v>128</v>
      </c>
      <c r="B109" s="1"/>
      <c r="C109" s="6"/>
      <c r="D109" s="8"/>
      <c r="E109" s="8"/>
      <c r="F109" s="1"/>
      <c r="G109" s="41"/>
      <c r="H109" s="75"/>
      <c r="I109" s="75"/>
      <c r="J109" s="41"/>
      <c r="K109" s="41"/>
      <c r="L109" s="73"/>
      <c r="M109" s="73"/>
      <c r="N109" s="1"/>
      <c r="O109" s="1"/>
      <c r="P109" s="1"/>
      <c r="Q109" s="1"/>
      <c r="R109" s="1"/>
      <c r="S109" s="1"/>
      <c r="T109" s="1"/>
      <c r="U109" s="1"/>
      <c r="V109" s="1"/>
      <c r="W109" s="1"/>
      <c r="X109" s="1"/>
      <c r="Y109" s="1"/>
      <c r="Z109" s="1"/>
    </row>
    <row r="110" spans="1:26" ht="12.75" customHeight="1">
      <c r="A110" s="1"/>
      <c r="B110" s="1"/>
      <c r="C110" s="6"/>
      <c r="D110" s="8"/>
      <c r="E110" s="8"/>
      <c r="F110" s="1"/>
      <c r="G110" s="41"/>
      <c r="H110" s="75"/>
      <c r="I110" s="75"/>
      <c r="J110" s="41"/>
      <c r="K110" s="41"/>
      <c r="L110" s="73"/>
      <c r="M110" s="73"/>
      <c r="N110" s="1"/>
      <c r="O110" s="1"/>
      <c r="P110" s="1"/>
      <c r="Q110" s="1"/>
      <c r="R110" s="1"/>
      <c r="S110" s="1"/>
      <c r="T110" s="1"/>
      <c r="U110" s="1"/>
      <c r="V110" s="1"/>
      <c r="W110" s="1"/>
      <c r="X110" s="1"/>
      <c r="Y110" s="1"/>
      <c r="Z110" s="1"/>
    </row>
    <row r="111" spans="1:26" ht="12.75" customHeight="1">
      <c r="A111" s="45"/>
      <c r="B111" s="46"/>
      <c r="C111" s="41" t="s">
        <v>129</v>
      </c>
      <c r="D111" s="1"/>
      <c r="E111" s="368" t="s">
        <v>130</v>
      </c>
      <c r="F111" s="237"/>
      <c r="G111" s="237"/>
      <c r="H111" s="237"/>
      <c r="I111" s="237"/>
      <c r="J111" s="237"/>
      <c r="K111" s="369"/>
      <c r="L111" s="145" t="s">
        <v>131</v>
      </c>
      <c r="M111" s="146">
        <f>2*D10</f>
        <v>0</v>
      </c>
      <c r="N111" s="147" t="s">
        <v>11</v>
      </c>
      <c r="O111" s="1"/>
      <c r="P111" s="1"/>
      <c r="Q111" s="1"/>
      <c r="R111" s="1"/>
      <c r="S111" s="1"/>
      <c r="T111" s="1"/>
      <c r="U111" s="1"/>
      <c r="V111" s="1"/>
      <c r="W111" s="1"/>
      <c r="X111" s="1"/>
      <c r="Y111" s="1"/>
      <c r="Z111" s="1"/>
    </row>
    <row r="112" spans="1:26" ht="33.75" customHeight="1">
      <c r="A112" s="45"/>
      <c r="B112" s="46"/>
      <c r="C112" s="370"/>
      <c r="D112" s="298"/>
      <c r="E112" s="41"/>
      <c r="F112" s="368"/>
      <c r="G112" s="237"/>
      <c r="H112" s="372"/>
      <c r="I112" s="237"/>
      <c r="J112" s="368"/>
      <c r="K112" s="237"/>
      <c r="L112" s="360"/>
      <c r="M112" s="225"/>
      <c r="N112" s="254"/>
      <c r="O112" s="237"/>
      <c r="P112" s="1"/>
      <c r="Q112" s="1"/>
      <c r="R112" s="1"/>
      <c r="S112" s="1"/>
      <c r="T112" s="1"/>
      <c r="U112" s="1"/>
      <c r="V112" s="1"/>
      <c r="W112" s="1"/>
      <c r="X112" s="1"/>
      <c r="Y112" s="1"/>
      <c r="Z112" s="1"/>
    </row>
    <row r="113" spans="1:26" ht="22.5" customHeight="1">
      <c r="A113" s="363" t="str">
        <f>IF($D$13="English","load must be about","ungefähre Last")</f>
        <v>load must be about</v>
      </c>
      <c r="B113" s="223"/>
      <c r="C113" s="361" t="s">
        <v>132</v>
      </c>
      <c r="D113" s="220"/>
      <c r="E113" s="148" t="s">
        <v>132</v>
      </c>
      <c r="F113" s="361" t="s">
        <v>132</v>
      </c>
      <c r="G113" s="220"/>
      <c r="H113" s="361" t="s">
        <v>132</v>
      </c>
      <c r="I113" s="220"/>
      <c r="J113" s="361" t="s">
        <v>132</v>
      </c>
      <c r="K113" s="220"/>
      <c r="L113" s="362" t="s">
        <v>29</v>
      </c>
      <c r="M113" s="220"/>
      <c r="N113" s="7" t="s">
        <v>30</v>
      </c>
      <c r="O113" s="1"/>
      <c r="P113" s="1"/>
      <c r="Q113" s="1"/>
      <c r="R113" s="1"/>
      <c r="S113" s="1"/>
      <c r="T113" s="1"/>
      <c r="U113" s="1"/>
      <c r="V113" s="1"/>
      <c r="W113" s="1"/>
      <c r="X113" s="1"/>
      <c r="Y113" s="1"/>
      <c r="Z113" s="1"/>
    </row>
    <row r="114" spans="1:26" ht="12.75" customHeight="1">
      <c r="A114" s="231" t="s">
        <v>33</v>
      </c>
      <c r="B114" s="220"/>
      <c r="C114" s="234"/>
      <c r="D114" s="220"/>
      <c r="E114" s="19"/>
      <c r="F114" s="234"/>
      <c r="G114" s="220"/>
      <c r="H114" s="234"/>
      <c r="I114" s="220"/>
      <c r="J114" s="234"/>
      <c r="K114" s="220"/>
      <c r="L114" s="232" t="s">
        <v>33</v>
      </c>
      <c r="M114" s="220"/>
      <c r="N114" s="1"/>
      <c r="O114" s="1"/>
      <c r="P114" s="1"/>
      <c r="Q114" s="1"/>
      <c r="R114" s="1"/>
      <c r="S114" s="1"/>
      <c r="T114" s="1"/>
      <c r="U114" s="1"/>
      <c r="V114" s="1"/>
      <c r="W114" s="1"/>
      <c r="X114" s="1"/>
      <c r="Y114" s="1"/>
      <c r="Z114" s="1"/>
    </row>
    <row r="115" spans="1:26" ht="12.75" customHeight="1">
      <c r="A115" s="373">
        <v>0</v>
      </c>
      <c r="B115" s="220"/>
      <c r="C115" s="276"/>
      <c r="D115" s="216"/>
      <c r="E115" s="186"/>
      <c r="F115" s="276"/>
      <c r="G115" s="216"/>
      <c r="H115" s="276"/>
      <c r="I115" s="216"/>
      <c r="J115" s="276"/>
      <c r="K115" s="216"/>
      <c r="L115" s="149"/>
      <c r="M115" s="150"/>
      <c r="N115" s="1"/>
      <c r="O115" s="1"/>
      <c r="P115" s="1"/>
      <c r="Q115" s="1"/>
      <c r="R115" s="1"/>
      <c r="S115" s="1"/>
      <c r="T115" s="1"/>
      <c r="U115" s="1"/>
      <c r="V115" s="1"/>
      <c r="W115" s="1"/>
      <c r="X115" s="1"/>
      <c r="Y115" s="1"/>
      <c r="Z115" s="1"/>
    </row>
    <row r="116" spans="1:26" ht="12.75" customHeight="1">
      <c r="A116" s="263" t="s">
        <v>133</v>
      </c>
      <c r="B116" s="220"/>
      <c r="C116" s="371"/>
      <c r="D116" s="220"/>
      <c r="E116" s="151" t="str">
        <f>IF(E115=""," ",E115-A115)</f>
        <v xml:space="preserve"> </v>
      </c>
      <c r="F116" s="371" t="str">
        <f>IF(F115=""," ",F115-A115)</f>
        <v xml:space="preserve"> </v>
      </c>
      <c r="G116" s="220"/>
      <c r="H116" s="371" t="str">
        <f>IF(H115=""," ",H115-A115)</f>
        <v xml:space="preserve"> </v>
      </c>
      <c r="I116" s="220"/>
      <c r="J116" s="371" t="str">
        <f>IF(J115=""," ",J115-A115)</f>
        <v xml:space="preserve"> </v>
      </c>
      <c r="K116" s="220"/>
      <c r="L116" s="367">
        <f>M111</f>
        <v>0</v>
      </c>
      <c r="M116" s="220"/>
      <c r="N116" s="1"/>
      <c r="O116" s="1"/>
      <c r="P116" s="1"/>
      <c r="Q116" s="1"/>
      <c r="R116" s="1"/>
      <c r="S116" s="1"/>
      <c r="T116" s="1"/>
      <c r="U116" s="1"/>
      <c r="V116" s="1"/>
      <c r="W116" s="1"/>
      <c r="X116" s="1"/>
      <c r="Y116" s="1"/>
      <c r="Z116" s="1"/>
    </row>
    <row r="117" spans="1:26" ht="12.75" customHeight="1">
      <c r="A117" s="375"/>
      <c r="B117" s="226"/>
      <c r="C117" s="371"/>
      <c r="D117" s="220"/>
      <c r="E117" s="27" t="str">
        <f>IF(E116=" "," ",IF(E116&lt;=L116,"Y","N"))</f>
        <v xml:space="preserve"> </v>
      </c>
      <c r="F117" s="222" t="str">
        <f>IF(F116=" "," ",IF(F116&lt;=L116,"Y","N"))</f>
        <v xml:space="preserve"> </v>
      </c>
      <c r="G117" s="220"/>
      <c r="H117" s="222" t="str">
        <f>IF(H116=" "," ",IF(H116&lt;=L116,"Y","N"))</f>
        <v xml:space="preserve"> </v>
      </c>
      <c r="I117" s="220"/>
      <c r="J117" s="222" t="str">
        <f>IF(J116=" "," ",IF(J116&lt;=L116,"Y","N"))</f>
        <v xml:space="preserve"> </v>
      </c>
      <c r="K117" s="220"/>
      <c r="L117" s="277"/>
      <c r="M117" s="220"/>
      <c r="N117" s="27" t="str">
        <f>IF(AND(E117="Y",F117="Y",H117="Y",J117="Y"),"Y","N")</f>
        <v>N</v>
      </c>
      <c r="O117" s="1"/>
      <c r="P117" s="1"/>
      <c r="Q117" s="1"/>
      <c r="R117" s="1"/>
      <c r="S117" s="1"/>
      <c r="T117" s="1"/>
      <c r="U117" s="1"/>
      <c r="V117" s="1"/>
      <c r="W117" s="1"/>
      <c r="X117" s="1"/>
      <c r="Y117" s="1"/>
      <c r="Z117" s="1"/>
    </row>
    <row r="118" spans="1:26" ht="12.75" customHeight="1">
      <c r="A118" s="263">
        <f>D9</f>
        <v>0</v>
      </c>
      <c r="B118" s="220"/>
      <c r="C118" s="276"/>
      <c r="D118" s="216"/>
      <c r="E118" s="186"/>
      <c r="F118" s="276"/>
      <c r="G118" s="216"/>
      <c r="H118" s="276"/>
      <c r="I118" s="216"/>
      <c r="J118" s="276"/>
      <c r="K118" s="216"/>
      <c r="L118" s="371"/>
      <c r="M118" s="220"/>
      <c r="N118" s="1"/>
      <c r="O118" s="1"/>
      <c r="P118" s="1"/>
      <c r="Q118" s="1"/>
      <c r="R118" s="1"/>
      <c r="S118" s="1"/>
      <c r="T118" s="1"/>
      <c r="U118" s="1"/>
      <c r="V118" s="1"/>
      <c r="W118" s="1"/>
      <c r="X118" s="1"/>
      <c r="Y118" s="1"/>
      <c r="Z118" s="1"/>
    </row>
    <row r="119" spans="1:26" ht="12.75" customHeight="1">
      <c r="A119" s="263" t="s">
        <v>133</v>
      </c>
      <c r="B119" s="220"/>
      <c r="C119" s="371" t="str">
        <f>IF(C118=""," ",C118-A118)</f>
        <v xml:space="preserve"> </v>
      </c>
      <c r="D119" s="220"/>
      <c r="E119" s="151" t="str">
        <f>IF(E118=""," ",E118-A118)</f>
        <v xml:space="preserve"> </v>
      </c>
      <c r="F119" s="371" t="str">
        <f>IF(F118=""," ",F118-A118)</f>
        <v xml:space="preserve"> </v>
      </c>
      <c r="G119" s="220"/>
      <c r="H119" s="371" t="str">
        <f>IF(H118=""," ",H118-A118)</f>
        <v xml:space="preserve"> </v>
      </c>
      <c r="I119" s="220"/>
      <c r="J119" s="371" t="str">
        <f>IF(J118=""," ",J118-A118)</f>
        <v xml:space="preserve"> </v>
      </c>
      <c r="K119" s="220"/>
      <c r="L119" s="367" t="str">
        <f>IF(D10=0," ",0.5*D10)</f>
        <v xml:space="preserve"> </v>
      </c>
      <c r="M119" s="220"/>
      <c r="N119" s="1"/>
      <c r="O119" s="1"/>
      <c r="P119" s="1"/>
      <c r="Q119" s="1"/>
      <c r="R119" s="1"/>
      <c r="S119" s="1"/>
      <c r="T119" s="1"/>
      <c r="U119" s="1"/>
      <c r="V119" s="1"/>
      <c r="W119" s="1"/>
      <c r="X119" s="1"/>
      <c r="Y119" s="1"/>
      <c r="Z119" s="1"/>
    </row>
    <row r="120" spans="1:26" ht="12.75" customHeight="1">
      <c r="A120" s="375" t="s">
        <v>134</v>
      </c>
      <c r="B120" s="226"/>
      <c r="C120" s="371" t="str">
        <f>IF(C119=" "," ",IF(E31=" "," ",C119-E31))</f>
        <v xml:space="preserve"> </v>
      </c>
      <c r="D120" s="220"/>
      <c r="E120" s="151" t="str">
        <f t="shared" ref="E120:F120" si="30">IF(E119=" "," ",E119-E116)</f>
        <v xml:space="preserve"> </v>
      </c>
      <c r="F120" s="371" t="str">
        <f t="shared" si="30"/>
        <v xml:space="preserve"> </v>
      </c>
      <c r="G120" s="220"/>
      <c r="H120" s="371" t="str">
        <f>IF(H119=" "," ",H119-H116)</f>
        <v xml:space="preserve"> </v>
      </c>
      <c r="I120" s="220"/>
      <c r="J120" s="371" t="str">
        <f>IF(J119=" "," ",J119-J116)</f>
        <v xml:space="preserve"> </v>
      </c>
      <c r="K120" s="220"/>
      <c r="L120" s="277"/>
      <c r="M120" s="220"/>
      <c r="N120" s="1"/>
      <c r="O120" s="1"/>
      <c r="P120" s="1"/>
      <c r="Q120" s="1"/>
      <c r="R120" s="1"/>
      <c r="S120" s="1"/>
      <c r="T120" s="1"/>
      <c r="U120" s="1"/>
      <c r="V120" s="1"/>
      <c r="W120" s="1"/>
      <c r="X120" s="1"/>
      <c r="Y120" s="1"/>
      <c r="Z120" s="1"/>
    </row>
    <row r="121" spans="1:26" ht="12.75" customHeight="1">
      <c r="A121" s="377"/>
      <c r="B121" s="225"/>
      <c r="C121" s="222" t="str">
        <f>IF(C120=" "," ",IF(C120&lt;=L119,"Y","N"))</f>
        <v xml:space="preserve"> </v>
      </c>
      <c r="D121" s="220"/>
      <c r="E121" s="27" t="str">
        <f>IF(E120=" "," ",IF(E120&lt;=L119,"Y","N"))</f>
        <v xml:space="preserve"> </v>
      </c>
      <c r="F121" s="222" t="str">
        <f>IF(F120=" "," ",IF(F120&lt;=L119,"Y","N"))</f>
        <v xml:space="preserve"> </v>
      </c>
      <c r="G121" s="220"/>
      <c r="H121" s="222" t="str">
        <f>IF(H120=" "," ",IF(H120&lt;=L119,"Y","N"))</f>
        <v xml:space="preserve"> </v>
      </c>
      <c r="I121" s="220"/>
      <c r="J121" s="222" t="str">
        <f>IF(J120=" "," ",IF(J120&lt;=L119,"Y","N"))</f>
        <v xml:space="preserve"> </v>
      </c>
      <c r="K121" s="220"/>
      <c r="L121" s="73"/>
      <c r="M121" s="73"/>
      <c r="N121" s="27" t="str">
        <f>IF(AND(C121="Y",E121="Y",F121="Y",H121="Y",J121="Y"),"Y","N")</f>
        <v>N</v>
      </c>
      <c r="O121" s="1"/>
      <c r="P121" s="1"/>
      <c r="Q121" s="1"/>
      <c r="R121" s="1"/>
      <c r="S121" s="1"/>
      <c r="T121" s="1"/>
      <c r="U121" s="1"/>
      <c r="V121" s="1"/>
      <c r="W121" s="1"/>
      <c r="X121" s="1"/>
      <c r="Y121" s="1"/>
      <c r="Z121" s="1"/>
    </row>
    <row r="122" spans="1:26" ht="12.75" customHeight="1">
      <c r="A122" s="376" t="str">
        <f>IF(G111&lt;8," ",ROUND($D$9/($G$88-1),-0.01))</f>
        <v xml:space="preserve"> </v>
      </c>
      <c r="B122" s="237"/>
      <c r="C122" s="374"/>
      <c r="D122" s="237"/>
      <c r="E122" s="30"/>
      <c r="F122" s="374"/>
      <c r="G122" s="237"/>
      <c r="H122" s="374"/>
      <c r="I122" s="237"/>
      <c r="J122" s="374" t="s">
        <v>135</v>
      </c>
      <c r="K122" s="237"/>
      <c r="L122" s="73"/>
      <c r="M122" s="73"/>
      <c r="N122" s="27" t="str">
        <f>IF(AND(N117="Y",N121="Y"),"Y","N")</f>
        <v>N</v>
      </c>
      <c r="O122" s="1"/>
      <c r="P122" s="1"/>
      <c r="Q122" s="1"/>
      <c r="R122" s="1"/>
      <c r="S122" s="1"/>
      <c r="T122" s="1"/>
      <c r="U122" s="1"/>
      <c r="V122" s="1"/>
      <c r="W122" s="1"/>
      <c r="X122" s="1"/>
      <c r="Y122" s="1"/>
      <c r="Z122" s="1"/>
    </row>
    <row r="123" spans="1:26" ht="12.75" customHeight="1">
      <c r="A123" s="45"/>
      <c r="B123" s="46"/>
      <c r="C123" s="74"/>
      <c r="D123" s="41"/>
      <c r="E123" s="41"/>
      <c r="F123" s="41"/>
      <c r="G123" s="41"/>
      <c r="H123" s="75"/>
      <c r="I123" s="75"/>
      <c r="J123" s="41"/>
      <c r="K123" s="41"/>
      <c r="L123" s="73"/>
      <c r="M123" s="73"/>
      <c r="N123" s="1"/>
      <c r="O123" s="1"/>
      <c r="P123" s="1"/>
      <c r="Q123" s="1"/>
      <c r="R123" s="1"/>
      <c r="S123" s="1"/>
      <c r="T123" s="1"/>
      <c r="U123" s="1"/>
      <c r="V123" s="1"/>
      <c r="W123" s="1"/>
      <c r="X123" s="1"/>
      <c r="Y123" s="1"/>
      <c r="Z123" s="1"/>
    </row>
    <row r="124" spans="1:26" ht="12.75" customHeight="1">
      <c r="A124" s="45"/>
      <c r="B124" s="46"/>
      <c r="C124" s="74"/>
      <c r="D124" s="74"/>
      <c r="E124" s="74"/>
      <c r="F124" s="41"/>
      <c r="G124" s="41"/>
      <c r="H124" s="75"/>
      <c r="I124" s="75"/>
      <c r="J124" s="41"/>
      <c r="K124" s="41"/>
      <c r="L124" s="73"/>
      <c r="M124" s="73"/>
      <c r="N124" s="1"/>
      <c r="O124" s="1"/>
      <c r="P124" s="1"/>
      <c r="Q124" s="1"/>
      <c r="R124" s="1"/>
      <c r="S124" s="1"/>
      <c r="T124" s="1"/>
      <c r="U124" s="1"/>
      <c r="V124" s="1"/>
      <c r="W124" s="1"/>
      <c r="X124" s="1"/>
      <c r="Y124" s="1"/>
      <c r="Z124" s="1"/>
    </row>
    <row r="125" spans="1:26" ht="12.75" customHeight="1">
      <c r="A125" s="76" t="str">
        <f>IF($D$13="English","place of installation:","Ort der Inbetriebnahme:")</f>
        <v>place of installation:</v>
      </c>
      <c r="B125" s="1"/>
      <c r="C125" s="1"/>
      <c r="D125" s="1"/>
      <c r="E125" s="253"/>
      <c r="F125" s="215"/>
      <c r="G125" s="215"/>
      <c r="H125" s="215"/>
      <c r="I125" s="215"/>
      <c r="J125" s="215"/>
      <c r="K125" s="215"/>
      <c r="L125" s="215"/>
      <c r="M125" s="215"/>
      <c r="N125" s="215"/>
      <c r="O125" s="215"/>
      <c r="P125" s="215"/>
      <c r="Q125" s="261"/>
      <c r="R125" s="1"/>
      <c r="S125" s="1"/>
      <c r="T125" s="1"/>
      <c r="U125" s="1"/>
      <c r="V125" s="1"/>
      <c r="W125" s="1"/>
      <c r="X125" s="1"/>
      <c r="Y125" s="1"/>
      <c r="Z125" s="1"/>
    </row>
    <row r="126" spans="1:26" ht="12.75" customHeight="1">
      <c r="A126" s="77"/>
      <c r="B126" s="1"/>
      <c r="C126" s="1"/>
      <c r="D126" s="1"/>
      <c r="E126" s="253"/>
      <c r="F126" s="215"/>
      <c r="G126" s="215"/>
      <c r="H126" s="215"/>
      <c r="I126" s="215"/>
      <c r="J126" s="215"/>
      <c r="K126" s="215"/>
      <c r="L126" s="215"/>
      <c r="M126" s="215"/>
      <c r="N126" s="215"/>
      <c r="O126" s="215"/>
      <c r="P126" s="215"/>
      <c r="Q126" s="261"/>
      <c r="R126" s="1"/>
      <c r="S126" s="1"/>
      <c r="T126" s="1"/>
      <c r="U126" s="1"/>
      <c r="V126" s="1"/>
      <c r="W126" s="1"/>
      <c r="X126" s="1"/>
      <c r="Y126" s="1"/>
      <c r="Z126" s="1"/>
    </row>
    <row r="127" spans="1:26" ht="12.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8" customHeight="1">
      <c r="A128" s="76" t="str">
        <f>IF($D$13="English","Calibration Counter C:","Kalibrierzähler C:")</f>
        <v>Calibration Counter C:</v>
      </c>
      <c r="B128" s="1"/>
      <c r="C128" s="1"/>
      <c r="D128" s="1"/>
      <c r="E128" s="253"/>
      <c r="F128" s="216"/>
      <c r="G128" s="17"/>
      <c r="H128" s="41"/>
      <c r="I128" s="41"/>
      <c r="J128" s="41"/>
      <c r="K128" s="41"/>
      <c r="L128" s="73"/>
      <c r="M128" s="73"/>
      <c r="N128" s="1"/>
      <c r="O128" s="1"/>
      <c r="P128" s="1"/>
      <c r="Q128" s="1"/>
      <c r="R128" s="1"/>
      <c r="S128" s="1"/>
      <c r="T128" s="1"/>
      <c r="U128" s="1"/>
      <c r="V128" s="1"/>
      <c r="W128" s="1"/>
      <c r="X128" s="1"/>
      <c r="Y128" s="1"/>
      <c r="Z128" s="1"/>
    </row>
    <row r="129" spans="1:26" ht="12.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c r="A130" s="78"/>
      <c r="B130" s="78" t="str">
        <f>IF($D$13="English","Note:  If the scale  fails any test, it should not be used!","Anmerkung: Falls ein Test nicht bestanden ist, ist die Waage nicht eichfähig!")</f>
        <v>Note:  If the scale  fails any test, it should not be used!</v>
      </c>
      <c r="C130" s="74"/>
      <c r="D130" s="41"/>
      <c r="E130" s="41"/>
      <c r="F130" s="41"/>
      <c r="G130" s="17"/>
      <c r="H130" s="41"/>
      <c r="I130" s="41"/>
      <c r="J130" s="41"/>
      <c r="K130" s="41"/>
      <c r="L130" s="73"/>
      <c r="M130" s="73"/>
      <c r="N130" s="1"/>
      <c r="O130" s="1"/>
      <c r="P130" s="1"/>
      <c r="Q130" s="1"/>
      <c r="R130" s="1"/>
      <c r="S130" s="1"/>
      <c r="T130" s="1"/>
      <c r="U130" s="1"/>
      <c r="V130" s="1"/>
      <c r="W130" s="1"/>
      <c r="X130" s="1"/>
      <c r="Y130" s="1"/>
      <c r="Z130" s="1"/>
    </row>
    <row r="131" spans="1:26" ht="12"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jt+j716rtOLvQl6NTAVH91oAH1VDcuPwotXCQRjzLcGits9Mq2b0Elc1BhoXn+nH6DwB9RFsvrGOYbKVd/ZrfA==" saltValue="MKtDQh0+IcV7fhKDdWf95Q==" spinCount="100000" sheet="1" objects="1" scenarios="1"/>
  <mergeCells count="261">
    <mergeCell ref="M49:O49"/>
    <mergeCell ref="M50:O50"/>
    <mergeCell ref="M51:O51"/>
    <mergeCell ref="M52:O52"/>
    <mergeCell ref="M53:O53"/>
    <mergeCell ref="A56:P57"/>
    <mergeCell ref="A65:P66"/>
    <mergeCell ref="C67:D67"/>
    <mergeCell ref="A68:C68"/>
    <mergeCell ref="E68:F68"/>
    <mergeCell ref="G68:H68"/>
    <mergeCell ref="B52:C52"/>
    <mergeCell ref="B53:C53"/>
    <mergeCell ref="G52:H52"/>
    <mergeCell ref="I52:J52"/>
    <mergeCell ref="A69:C69"/>
    <mergeCell ref="G69:H69"/>
    <mergeCell ref="G70:H70"/>
    <mergeCell ref="E69:F69"/>
    <mergeCell ref="E70:F70"/>
    <mergeCell ref="E71:F71"/>
    <mergeCell ref="G71:H71"/>
    <mergeCell ref="E72:F72"/>
    <mergeCell ref="G72:H72"/>
    <mergeCell ref="K76:M76"/>
    <mergeCell ref="K77:M77"/>
    <mergeCell ref="K78:M78"/>
    <mergeCell ref="J87:O88"/>
    <mergeCell ref="K68:M68"/>
    <mergeCell ref="K69:M69"/>
    <mergeCell ref="K70:M70"/>
    <mergeCell ref="K71:M71"/>
    <mergeCell ref="K72:M72"/>
    <mergeCell ref="K73:M73"/>
    <mergeCell ref="K74:M74"/>
    <mergeCell ref="A115:B115"/>
    <mergeCell ref="C115:D115"/>
    <mergeCell ref="F115:G115"/>
    <mergeCell ref="H115:I115"/>
    <mergeCell ref="J115:K115"/>
    <mergeCell ref="A116:B116"/>
    <mergeCell ref="C116:D116"/>
    <mergeCell ref="E73:F73"/>
    <mergeCell ref="E74:F74"/>
    <mergeCell ref="E75:F75"/>
    <mergeCell ref="E76:F76"/>
    <mergeCell ref="E77:F77"/>
    <mergeCell ref="E78:F78"/>
    <mergeCell ref="A90:B90"/>
    <mergeCell ref="A94:B94"/>
    <mergeCell ref="A95:B95"/>
    <mergeCell ref="A91:B91"/>
    <mergeCell ref="A92:B92"/>
    <mergeCell ref="F92:G92"/>
    <mergeCell ref="A93:B93"/>
    <mergeCell ref="F93:G93"/>
    <mergeCell ref="F94:G94"/>
    <mergeCell ref="G73:H73"/>
    <mergeCell ref="K75:M75"/>
    <mergeCell ref="E128:F128"/>
    <mergeCell ref="A117:B117"/>
    <mergeCell ref="C117:D117"/>
    <mergeCell ref="A122:B122"/>
    <mergeCell ref="E125:Q125"/>
    <mergeCell ref="E126:Q126"/>
    <mergeCell ref="A118:B118"/>
    <mergeCell ref="A119:B119"/>
    <mergeCell ref="A120:B120"/>
    <mergeCell ref="A121:B121"/>
    <mergeCell ref="H117:I117"/>
    <mergeCell ref="J117:K117"/>
    <mergeCell ref="L117:M117"/>
    <mergeCell ref="C118:D118"/>
    <mergeCell ref="L118:M118"/>
    <mergeCell ref="H120:I120"/>
    <mergeCell ref="H121:I121"/>
    <mergeCell ref="J121:K121"/>
    <mergeCell ref="H122:I122"/>
    <mergeCell ref="J122:K122"/>
    <mergeCell ref="H118:I118"/>
    <mergeCell ref="J118:K118"/>
    <mergeCell ref="H119:I119"/>
    <mergeCell ref="J119:K119"/>
    <mergeCell ref="L119:M119"/>
    <mergeCell ref="J120:K120"/>
    <mergeCell ref="L120:M120"/>
    <mergeCell ref="C122:D122"/>
    <mergeCell ref="C119:D119"/>
    <mergeCell ref="C120:D120"/>
    <mergeCell ref="C121:D121"/>
    <mergeCell ref="F120:G120"/>
    <mergeCell ref="F121:G121"/>
    <mergeCell ref="F122:G122"/>
    <mergeCell ref="F117:G117"/>
    <mergeCell ref="F118:G118"/>
    <mergeCell ref="F119:G119"/>
    <mergeCell ref="H94:I94"/>
    <mergeCell ref="A97:B97"/>
    <mergeCell ref="A98:B98"/>
    <mergeCell ref="A99:B99"/>
    <mergeCell ref="A100:B100"/>
    <mergeCell ref="A101:B101"/>
    <mergeCell ref="F95:G95"/>
    <mergeCell ref="H95:I95"/>
    <mergeCell ref="A96:B96"/>
    <mergeCell ref="F96:G96"/>
    <mergeCell ref="H96:I96"/>
    <mergeCell ref="F97:G97"/>
    <mergeCell ref="H97:I97"/>
    <mergeCell ref="F98:G98"/>
    <mergeCell ref="H98:I98"/>
    <mergeCell ref="F99:G99"/>
    <mergeCell ref="H99:I99"/>
    <mergeCell ref="F100:G100"/>
    <mergeCell ref="H100:I100"/>
    <mergeCell ref="H101:I101"/>
    <mergeCell ref="F101:G101"/>
    <mergeCell ref="F102:G102"/>
    <mergeCell ref="D105:E105"/>
    <mergeCell ref="D106:E106"/>
    <mergeCell ref="E111:K111"/>
    <mergeCell ref="C112:D112"/>
    <mergeCell ref="F112:G112"/>
    <mergeCell ref="H113:I113"/>
    <mergeCell ref="J113:K113"/>
    <mergeCell ref="J116:K116"/>
    <mergeCell ref="H112:I112"/>
    <mergeCell ref="J112:K112"/>
    <mergeCell ref="F116:G116"/>
    <mergeCell ref="H116:I116"/>
    <mergeCell ref="E36:G36"/>
    <mergeCell ref="H36:I36"/>
    <mergeCell ref="A37:D37"/>
    <mergeCell ref="E37:G37"/>
    <mergeCell ref="A38:D38"/>
    <mergeCell ref="E38:G38"/>
    <mergeCell ref="L116:M116"/>
    <mergeCell ref="B45:C45"/>
    <mergeCell ref="B46:C46"/>
    <mergeCell ref="E46:F46"/>
    <mergeCell ref="G46:H46"/>
    <mergeCell ref="I46:J46"/>
    <mergeCell ref="B47:C47"/>
    <mergeCell ref="B48:C48"/>
    <mergeCell ref="B49:C49"/>
    <mergeCell ref="E49:F49"/>
    <mergeCell ref="G49:H49"/>
    <mergeCell ref="I49:J49"/>
    <mergeCell ref="E50:F50"/>
    <mergeCell ref="G50:H50"/>
    <mergeCell ref="I50:J50"/>
    <mergeCell ref="E52:F52"/>
    <mergeCell ref="E53:F53"/>
    <mergeCell ref="G53:H53"/>
    <mergeCell ref="L5:Q5"/>
    <mergeCell ref="D6:H6"/>
    <mergeCell ref="L6:Q6"/>
    <mergeCell ref="D9:E9"/>
    <mergeCell ref="D10:E10"/>
    <mergeCell ref="L7:Q7"/>
    <mergeCell ref="L9:Q9"/>
    <mergeCell ref="L10:Q10"/>
    <mergeCell ref="L12:Q13"/>
    <mergeCell ref="L8:Q8"/>
    <mergeCell ref="L14:Q15"/>
    <mergeCell ref="J16:K16"/>
    <mergeCell ref="P16:Q16"/>
    <mergeCell ref="E16:H16"/>
    <mergeCell ref="A20:C20"/>
    <mergeCell ref="D20:F20"/>
    <mergeCell ref="G20:H20"/>
    <mergeCell ref="I20:J20"/>
    <mergeCell ref="K20:L20"/>
    <mergeCell ref="J26:L26"/>
    <mergeCell ref="E21:F21"/>
    <mergeCell ref="G21:H21"/>
    <mergeCell ref="B22:C22"/>
    <mergeCell ref="E22:F22"/>
    <mergeCell ref="G22:H22"/>
    <mergeCell ref="I22:J22"/>
    <mergeCell ref="I23:J23"/>
    <mergeCell ref="B23:C23"/>
    <mergeCell ref="B24:C24"/>
    <mergeCell ref="B21:C21"/>
    <mergeCell ref="I21:J21"/>
    <mergeCell ref="E23:F23"/>
    <mergeCell ref="G23:H23"/>
    <mergeCell ref="E24:F24"/>
    <mergeCell ref="G24:H24"/>
    <mergeCell ref="I24:J24"/>
    <mergeCell ref="G25:H25"/>
    <mergeCell ref="I25:J25"/>
    <mergeCell ref="A29:D29"/>
    <mergeCell ref="E29:G29"/>
    <mergeCell ref="H29:I29"/>
    <mergeCell ref="A30:D30"/>
    <mergeCell ref="E30:G30"/>
    <mergeCell ref="K43:L43"/>
    <mergeCell ref="M43:O43"/>
    <mergeCell ref="M44:O44"/>
    <mergeCell ref="M45:O45"/>
    <mergeCell ref="E45:F45"/>
    <mergeCell ref="G45:H45"/>
    <mergeCell ref="I45:J45"/>
    <mergeCell ref="A41:H42"/>
    <mergeCell ref="A43:C43"/>
    <mergeCell ref="D43:F43"/>
    <mergeCell ref="G43:H43"/>
    <mergeCell ref="I43:J43"/>
    <mergeCell ref="B44:C44"/>
    <mergeCell ref="E44:F44"/>
    <mergeCell ref="G44:H44"/>
    <mergeCell ref="I44:J44"/>
    <mergeCell ref="A31:D31"/>
    <mergeCell ref="E31:G31"/>
    <mergeCell ref="A36:D36"/>
    <mergeCell ref="M46:O46"/>
    <mergeCell ref="M47:O47"/>
    <mergeCell ref="M48:O48"/>
    <mergeCell ref="A77:C77"/>
    <mergeCell ref="A78:C78"/>
    <mergeCell ref="A70:C70"/>
    <mergeCell ref="A71:C71"/>
    <mergeCell ref="A72:C72"/>
    <mergeCell ref="A73:C73"/>
    <mergeCell ref="A74:C74"/>
    <mergeCell ref="A75:C75"/>
    <mergeCell ref="A76:C76"/>
    <mergeCell ref="G47:H47"/>
    <mergeCell ref="I47:J47"/>
    <mergeCell ref="E47:F47"/>
    <mergeCell ref="E48:F48"/>
    <mergeCell ref="G48:H48"/>
    <mergeCell ref="I48:J48"/>
    <mergeCell ref="I53:J53"/>
    <mergeCell ref="B50:C50"/>
    <mergeCell ref="B51:C51"/>
    <mergeCell ref="E51:F51"/>
    <mergeCell ref="G51:H51"/>
    <mergeCell ref="I51:J51"/>
    <mergeCell ref="H92:I92"/>
    <mergeCell ref="H93:I93"/>
    <mergeCell ref="G74:H74"/>
    <mergeCell ref="G75:H75"/>
    <mergeCell ref="G76:H76"/>
    <mergeCell ref="G77:H77"/>
    <mergeCell ref="G78:H78"/>
    <mergeCell ref="H90:I90"/>
    <mergeCell ref="H91:I91"/>
    <mergeCell ref="L112:M112"/>
    <mergeCell ref="N112:O112"/>
    <mergeCell ref="C113:D113"/>
    <mergeCell ref="F113:G113"/>
    <mergeCell ref="L113:M113"/>
    <mergeCell ref="A113:B113"/>
    <mergeCell ref="A114:B114"/>
    <mergeCell ref="C114:D114"/>
    <mergeCell ref="F114:G114"/>
    <mergeCell ref="H114:I114"/>
    <mergeCell ref="J114:K114"/>
    <mergeCell ref="L114:M114"/>
  </mergeCells>
  <dataValidations count="4">
    <dataValidation type="list" allowBlank="1" showInputMessage="1" showErrorMessage="1" prompt="X or nothing" sqref="H105" xr:uid="{00000000-0002-0000-0800-000000000000}">
      <formula1>"X"</formula1>
    </dataValidation>
    <dataValidation type="list" allowBlank="1" showErrorMessage="1" sqref="D13:D15" xr:uid="{00000000-0002-0000-0800-000001000000}">
      <formula1>"English,Deutsch"</formula1>
    </dataValidation>
    <dataValidation type="list" allowBlank="1" showInputMessage="1" showErrorMessage="1" prompt="Y or N" sqref="N11 Q88" xr:uid="{00000000-0002-0000-0800-000002000000}">
      <formula1>"Y,N"</formula1>
    </dataValidation>
    <dataValidation type="list" allowBlank="1" showInputMessage="1" showErrorMessage="1" prompt="&lt;=4 , 6 , 8  or 10" sqref="G88" xr:uid="{00000000-0002-0000-0800-000003000000}">
      <formula1>"4,6,8,10"</formula1>
    </dataValidation>
  </dataValidations>
  <pageMargins left="0.70866141732283472" right="0.70866141732283472" top="0.78740157480314965" bottom="0.78740157480314965" header="0" footer="0"/>
  <pageSetup paperSize="9" scale="96" orientation="portrait" r:id="rId1"/>
  <headerFooter>
    <oddFooter>&amp;L&amp;F&amp;CPage &amp;P / &amp;R&amp;D</oddFooter>
  </headerFooter>
  <rowBreaks count="1" manualBreakCount="1">
    <brk id="63" max="16383" man="1"/>
  </rowBreaks>
  <colBreaks count="1" manualBreakCount="1">
    <brk id="17"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Dual Range max. &lt; 1t</vt:lpstr>
      <vt:lpstr>Dual Range max. &gt; 1t</vt:lpstr>
      <vt:lpstr>Dual Range Truck Scale</vt:lpstr>
      <vt:lpstr>Single Range max. &lt; 10kg</vt:lpstr>
      <vt:lpstr>Single Range max. &lt; 1t Gravity</vt:lpstr>
      <vt:lpstr>Single Range max. &gt; 1t Gravity </vt:lpstr>
      <vt:lpstr>Single Range Truck Gravity</vt:lpstr>
      <vt:lpstr>Hanging scale &lt; 1t</vt:lpstr>
      <vt:lpstr>Single Range medical bed</vt:lpstr>
      <vt:lpstr>Single Range Onboard Weighing</vt:lpstr>
      <vt:lpstr>Dual Range Onboard Weighing</vt:lpstr>
      <vt:lpstr>'Dual Range max. &lt; 1t'!Print_Area</vt:lpstr>
      <vt:lpstr>'Dual Range max. &gt; 1t'!Print_Area</vt:lpstr>
      <vt:lpstr>'Dual Range Onboard Weighing'!Print_Area</vt:lpstr>
      <vt:lpstr>'Dual Range Truck Scale'!Print_Area</vt:lpstr>
      <vt:lpstr>'Single Range max. &lt; 1t Gravity'!Print_Area</vt:lpstr>
      <vt:lpstr>'Single Range max. &gt; 1t Gravity '!Print_Area</vt:lpstr>
      <vt:lpstr>'Dual Range max. &lt; 1t'!Z_1AAFE600_AD8B_4A0F_936E_A145200A15D1_.wvu.PrintArea</vt:lpstr>
      <vt:lpstr>'Dual Range max. &gt; 1t'!Z_1AAFE600_AD8B_4A0F_936E_A145200A15D1_.wvu.PrintArea</vt:lpstr>
      <vt:lpstr>'Dual Range Onboard Weighing'!Z_1AAFE600_AD8B_4A0F_936E_A145200A15D1_.wvu.PrintArea</vt:lpstr>
      <vt:lpstr>'Dual Range Truck Scale'!Z_1AAFE600_AD8B_4A0F_936E_A145200A15D1_.wvu.PrintArea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Viraj Milinda</dc:creator>
  <cp:lastModifiedBy>Viraj Milinda</cp:lastModifiedBy>
  <cp:lastPrinted>2025-02-27T11:47:59Z</cp:lastPrinted>
  <dcterms:created xsi:type="dcterms:W3CDTF">2025-04-01T05:56:40Z</dcterms:created>
  <dcterms:modified xsi:type="dcterms:W3CDTF">2025-04-01T06:01:50Z</dcterms:modified>
</cp:coreProperties>
</file>